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61" windowWidth="20730" windowHeight="11760" tabRatio="816" activeTab="1"/>
  </bookViews>
  <sheets>
    <sheet name="Superfici" sheetId="1" r:id="rId1"/>
    <sheet name="DISTINTA ONERI" sheetId="2" r:id="rId2"/>
    <sheet name="RATE" sheetId="3" r:id="rId3"/>
    <sheet name="COSTO valori OMI" sheetId="4" r:id="rId4"/>
    <sheet name="Scheda A - NC resid" sheetId="5" r:id="rId5"/>
    <sheet name="Scheda B - RE resid" sheetId="6" r:id="rId6"/>
    <sheet name="Scheda C - NC altro" sheetId="7" r:id="rId7"/>
    <sheet name="Scheda D - RE altro" sheetId="8" r:id="rId8"/>
  </sheets>
  <definedNames>
    <definedName name="_xlnm.Print_Area" localSheetId="4">'Scheda A - NC resid'!$A$1:$G$67</definedName>
    <definedName name="_xlnm.Print_Area" localSheetId="5">'Scheda B - RE resid'!$A$1:$M$43</definedName>
    <definedName name="_xlnm.Print_Area" localSheetId="6">'Scheda C - NC altro'!$A$1:$J$12</definedName>
    <definedName name="_xlnm.Print_Area" localSheetId="7">'Scheda D - RE altro'!$A$1:$M$29</definedName>
    <definedName name="TIPIEDIFICIO">'COSTO valori OMI'!#REF!</definedName>
  </definedNames>
  <calcPr fullCalcOnLoad="1"/>
</workbook>
</file>

<file path=xl/comments1.xml><?xml version="1.0" encoding="utf-8"?>
<comments xmlns="http://schemas.openxmlformats.org/spreadsheetml/2006/main">
  <authors>
    <author>meranino</author>
  </authors>
  <commentList>
    <comment ref="M3" authorId="0">
      <text>
        <r>
          <rPr>
            <sz val="8"/>
            <rFont val="Tahoma"/>
            <family val="0"/>
          </rPr>
          <t>Da compilare per calcolo oneri destinazioni produttive ed agricole</t>
        </r>
      </text>
    </comment>
    <comment ref="N3" authorId="0">
      <text>
        <r>
          <rPr>
            <b/>
            <sz val="9"/>
            <rFont val="Tahoma"/>
            <family val="0"/>
          </rPr>
          <t>indicare la Superficie Vendibile per gli interventi RE senza cu relativamente alle attività commerciali</t>
        </r>
      </text>
    </comment>
  </commentList>
</comments>
</file>

<file path=xl/comments2.xml><?xml version="1.0" encoding="utf-8"?>
<comments xmlns="http://schemas.openxmlformats.org/spreadsheetml/2006/main">
  <authors>
    <author>Comune di Carpi</author>
    <author>meranino</author>
  </authors>
  <commentList>
    <comment ref="G65" authorId="0">
      <text>
        <r>
          <rPr>
            <b/>
            <sz val="8"/>
            <rFont val="Tahoma"/>
            <family val="0"/>
          </rPr>
          <t>inserisci i mq. di parcheggio da monetizzare in base alla zona, considerando il numero dei posti auto che dovevano essere ricavati (multipli di mq. 25)</t>
        </r>
        <r>
          <rPr>
            <sz val="8"/>
            <rFont val="Tahoma"/>
            <family val="0"/>
          </rPr>
          <t xml:space="preserve">
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INSERIRE ELENCO A SCALARE
Kd =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1,5</t>
        </r>
        <r>
          <rPr>
            <sz val="8"/>
            <rFont val="Tahoma"/>
            <family val="2"/>
          </rPr>
          <t xml:space="preserve"> per attività industriali comprese nell'elenco di cui alla parte I, lettera c, del D.M. 5 settembre 1994 "Elenco industrie insalubri di cui all'art. 216 del Testo Unico delle Leggi Sanitarie"
</t>
        </r>
        <r>
          <rPr>
            <b/>
            <sz val="8"/>
            <rFont val="Tahoma"/>
            <family val="2"/>
          </rPr>
          <t>1,0</t>
        </r>
        <r>
          <rPr>
            <sz val="8"/>
            <rFont val="Tahoma"/>
            <family val="2"/>
          </rPr>
          <t xml:space="preserve"> per tutte le altre attività</t>
        </r>
      </text>
    </comment>
    <comment ref="G66" authorId="0">
      <text>
        <r>
          <rPr>
            <b/>
            <sz val="8"/>
            <rFont val="Tahoma"/>
            <family val="0"/>
          </rPr>
          <t>inserisci i mq. di parcheggio da monetizzare in base alla zona, considerando il numero dei posti auto che dovevano essere ricavati (multipli di mq. 25)</t>
        </r>
        <r>
          <rPr>
            <sz val="8"/>
            <rFont val="Tahoma"/>
            <family val="0"/>
          </rPr>
          <t xml:space="preserve">
</t>
        </r>
      </text>
    </comment>
    <comment ref="G67" authorId="0">
      <text>
        <r>
          <rPr>
            <b/>
            <sz val="8"/>
            <rFont val="Tahoma"/>
            <family val="0"/>
          </rPr>
          <t>inserisci i mq. di parcheggio da monetizzare in base alla zona, considerando il numero dei posti auto che dovevano essere ricavati (multipli di mq. 25)</t>
        </r>
        <r>
          <rPr>
            <sz val="8"/>
            <rFont val="Tahoma"/>
            <family val="0"/>
          </rPr>
          <t xml:space="preserve">
</t>
        </r>
      </text>
    </comment>
    <comment ref="G51" authorId="0">
      <text>
        <r>
          <rPr>
            <b/>
            <sz val="8"/>
            <rFont val="Tahoma"/>
            <family val="2"/>
          </rPr>
          <t xml:space="preserve">INSERIRE ELENCO A SCALARE
Ks =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1,5</t>
        </r>
        <r>
          <rPr>
            <sz val="8"/>
            <rFont val="Tahoma"/>
            <family val="2"/>
          </rPr>
          <t xml:space="preserve"> per tutti gli interventi che prevedono un incremento delle superfici impermeabilizzate del suolo rispetto allo stato di fatto o modifiche planovolumetriche del terreno;
</t>
        </r>
        <r>
          <rPr>
            <b/>
            <sz val="8"/>
            <rFont val="Tahoma"/>
            <family val="2"/>
          </rPr>
          <t>0,5</t>
        </r>
        <r>
          <rPr>
            <sz val="8"/>
            <rFont val="Tahoma"/>
            <family val="2"/>
          </rPr>
          <t xml:space="preserve"> per gli interventi che prevedono quote di desigillazione e riduzione della superficie impermeabile del suolo rispetto allo stato di fatto superiore al 20% della SF;
</t>
        </r>
        <r>
          <rPr>
            <b/>
            <sz val="8"/>
            <rFont val="Tahoma"/>
            <family val="2"/>
          </rPr>
          <t>1,0</t>
        </r>
        <r>
          <rPr>
            <sz val="8"/>
            <rFont val="Tahoma"/>
            <family val="2"/>
          </rPr>
          <t xml:space="preserve"> nei restanti casi
</t>
        </r>
      </text>
    </comment>
    <comment ref="I4" authorId="1">
      <text>
        <r>
          <rPr>
            <b/>
            <sz val="9"/>
            <rFont val="Tahoma"/>
            <family val="0"/>
          </rPr>
          <t>se riduzione aggiungere il segno -</t>
        </r>
      </text>
    </comment>
    <comment ref="I5" authorId="1">
      <text>
        <r>
          <rPr>
            <b/>
            <sz val="9"/>
            <rFont val="Tahoma"/>
            <family val="0"/>
          </rPr>
          <t>se riduzione aggiungere il segno -</t>
        </r>
      </text>
    </comment>
    <comment ref="E4" authorId="1">
      <text>
        <r>
          <rPr>
            <b/>
            <sz val="9"/>
            <rFont val="Tahoma"/>
            <family val="0"/>
          </rPr>
          <t>se riduzione aggiungere il segno -</t>
        </r>
      </text>
    </comment>
    <comment ref="E5" authorId="1">
      <text>
        <r>
          <rPr>
            <b/>
            <sz val="9"/>
            <rFont val="Tahoma"/>
            <family val="0"/>
          </rPr>
          <t>se riduzione aggiungere il segno -</t>
        </r>
      </text>
    </comment>
    <comment ref="K71" authorId="1">
      <text>
        <r>
          <rPr>
            <b/>
            <sz val="9"/>
            <rFont val="Tahoma"/>
            <family val="0"/>
          </rPr>
          <t xml:space="preserve">Sanzioni per ritardato  e mancato versamento 
La legge non ammette proroghe ai termini per il pagamento delle rate
Il mancato pagamento nei termini comporta:
a) aumento del contributo in misura pari al 10% dell’importo della rata scaduta, qualora il versamento sia effettuato entro i successivi 120 giorni;
b) aumento del contributo in misura pari al 20% dell’importo della rata scaduta quando, superato il termine di cui alla lettera a), il ritardo si protrae non oltre i successivi 60 giorni;
c) aumento del contributo in misura pari al 40% dell’importo della rata scaduta quando, superato il termine di cui alla lettera b), il ritardo si protrae non oltre i successivi 60 giorni. 
</t>
        </r>
      </text>
    </comment>
  </commentList>
</comments>
</file>

<file path=xl/comments4.xml><?xml version="1.0" encoding="utf-8"?>
<comments xmlns="http://schemas.openxmlformats.org/spreadsheetml/2006/main">
  <authors>
    <author>meranino</author>
  </authors>
  <commentList>
    <comment ref="B1" authorId="0">
      <text>
        <r>
          <rPr>
            <b/>
            <sz val="9"/>
            <rFont val="Tahoma"/>
            <family val="0"/>
          </rPr>
          <t>VALORE MINIMO DI MARCATO stato OTTIMO (se stato NORMALE moltiplicare x 1,30; se stato SCADENTE moltiplicare per 2)</t>
        </r>
      </text>
    </comment>
    <comment ref="C1" authorId="0">
      <text>
        <r>
          <rPr>
            <b/>
            <sz val="9"/>
            <rFont val="Tahoma"/>
            <family val="0"/>
          </rPr>
          <t>VALORE MASSIMO DI MARCATO stato OTTIMO (se stato NORMALE moltiplicare x 1,30; se stato SCADENTE moltiplicare per 2)</t>
        </r>
      </text>
    </comment>
  </commentList>
</comments>
</file>

<file path=xl/sharedStrings.xml><?xml version="1.0" encoding="utf-8"?>
<sst xmlns="http://schemas.openxmlformats.org/spreadsheetml/2006/main" count="624" uniqueCount="339">
  <si>
    <t>=</t>
  </si>
  <si>
    <t>x</t>
  </si>
  <si>
    <t>DIREZIONALE</t>
  </si>
  <si>
    <t>mq.</t>
  </si>
  <si>
    <t>Destinazione</t>
  </si>
  <si>
    <t>Tipologia</t>
  </si>
  <si>
    <t>Tariffa</t>
  </si>
  <si>
    <t>perc. (%)</t>
  </si>
  <si>
    <t>IMPORTO</t>
  </si>
  <si>
    <t>NC</t>
  </si>
  <si>
    <t>Re con cu</t>
  </si>
  <si>
    <t>Re senza cu</t>
  </si>
  <si>
    <t>RESIDENZIALE</t>
  </si>
  <si>
    <t>Re</t>
  </si>
  <si>
    <t>ALBERGHIERO</t>
  </si>
  <si>
    <t>K1</t>
  </si>
  <si>
    <t>K2</t>
  </si>
  <si>
    <t>ONERE "D"</t>
  </si>
  <si>
    <t>PRODUTTIVO</t>
  </si>
  <si>
    <t>Oblazione</t>
  </si>
  <si>
    <t>unità immobiliari</t>
  </si>
  <si>
    <t>N.</t>
  </si>
  <si>
    <t>TOTALE COMPLESSIVO EURO</t>
  </si>
  <si>
    <t xml:space="preserve">Legenda: </t>
  </si>
  <si>
    <t>NC = Nuova costruzione</t>
  </si>
  <si>
    <t>Re con cu = Ristrutturazione con aumento di carico urbanistico</t>
  </si>
  <si>
    <t>Re senza cu = Ristrutturazione senza aumento di carico urbanistico</t>
  </si>
  <si>
    <t>PIANO</t>
  </si>
  <si>
    <t>MONETIZZAZIONE PARCHEGGI DI URBANIZZAZIONE "P2"</t>
  </si>
  <si>
    <t>centro</t>
  </si>
  <si>
    <t>periferia</t>
  </si>
  <si>
    <t>frazioni</t>
  </si>
  <si>
    <t>monetizzazione parcheggi di U1</t>
  </si>
  <si>
    <t>SU       (mq)</t>
  </si>
  <si>
    <t>SA      (mq)</t>
  </si>
  <si>
    <t>SA detraibili       (mq)</t>
  </si>
  <si>
    <t>DESTINAZIONI D'USO: FUNZIONI</t>
  </si>
  <si>
    <t>totali</t>
  </si>
  <si>
    <t>totale SA</t>
  </si>
  <si>
    <t>SC di PRG             (mq)</t>
  </si>
  <si>
    <t>TERZIARIA DI INTEGRAZIONE CON LA RESIDENZA</t>
  </si>
  <si>
    <t>ABITATIVA</t>
  </si>
  <si>
    <t>DIREZIONALE COMMERCIALE</t>
  </si>
  <si>
    <t>PRODUTTIVA</t>
  </si>
  <si>
    <t>AGRICOLA</t>
  </si>
  <si>
    <t>ALBERGHIERA</t>
  </si>
  <si>
    <t>1 - Abitativa U 1/1 - U 1/2</t>
  </si>
  <si>
    <t>2 - Commerciale - U 2/1 - U 2/2 - U 2/3</t>
  </si>
  <si>
    <t>3 - Direzionale - U 2/4 - U 2/6</t>
  </si>
  <si>
    <t>4 - Artigianale di Servizio - U 2/5</t>
  </si>
  <si>
    <t>6 - Direzionale - U 3/1</t>
  </si>
  <si>
    <t>7 - Magazzini e depositi per commercio ingrosso - U 3/4</t>
  </si>
  <si>
    <t>SIGLA DESTINAZIONE</t>
  </si>
  <si>
    <t>NUMERO DESTINAZIONE</t>
  </si>
  <si>
    <t>DESCRIZIONE (1)</t>
  </si>
  <si>
    <t>(1) descrivere l'unità immobiliare, oppure, nel  caso di locali comuni, indicare la destinazione del locale</t>
  </si>
  <si>
    <t>U2/1</t>
  </si>
  <si>
    <t>U1/1</t>
  </si>
  <si>
    <t>U2/2</t>
  </si>
  <si>
    <t>U1/2</t>
  </si>
  <si>
    <t>U2/3</t>
  </si>
  <si>
    <t>U2/4</t>
  </si>
  <si>
    <t>U2/6</t>
  </si>
  <si>
    <t>U2/5</t>
  </si>
  <si>
    <t>U3/2</t>
  </si>
  <si>
    <t>U3/5</t>
  </si>
  <si>
    <t>U3/6</t>
  </si>
  <si>
    <t>U3/7</t>
  </si>
  <si>
    <t>U3/3</t>
  </si>
  <si>
    <t>U3/1</t>
  </si>
  <si>
    <t>U3/4</t>
  </si>
  <si>
    <t>U4/2</t>
  </si>
  <si>
    <t>U4/3</t>
  </si>
  <si>
    <t>U5/1</t>
  </si>
  <si>
    <t>U5/2</t>
  </si>
  <si>
    <t>U5/3</t>
  </si>
  <si>
    <t>U5/4</t>
  </si>
  <si>
    <t>U6/1</t>
  </si>
  <si>
    <t>U6/2</t>
  </si>
  <si>
    <t>CODICE</t>
  </si>
  <si>
    <t xml:space="preserve"> </t>
  </si>
  <si>
    <t>U3/5a</t>
  </si>
  <si>
    <t>NUMERO</t>
  </si>
  <si>
    <t>8 - Produttiva U 4/1 - U 4/2 - U 4/3</t>
  </si>
  <si>
    <t>5 - Commerciale - U 3/2 - U 3/3 - U 3/5 - U 3/5a - U 3/6 - U 3/7</t>
  </si>
  <si>
    <t>U4/1</t>
  </si>
  <si>
    <t>DATI METRICI</t>
  </si>
  <si>
    <t>art. 20 NTA</t>
  </si>
  <si>
    <t>SUPERFICI DELLE SINGOLE UNITA' IMMOBILIARI E PERTINENZE</t>
  </si>
  <si>
    <t>9 - Agricola U 5/1</t>
  </si>
  <si>
    <t>10 - Agricola U 5/2 - U 5/3 - U5/4</t>
  </si>
  <si>
    <t>11 - Alberghiera U 6/1 - U 6/2</t>
  </si>
  <si>
    <t>TIPO DI INTERVENTO</t>
  </si>
  <si>
    <t>RE con CU</t>
  </si>
  <si>
    <t>RE senza CU</t>
  </si>
  <si>
    <t>&gt; 160mq.</t>
  </si>
  <si>
    <t>&lt;= 95</t>
  </si>
  <si>
    <t>&gt; 95 e &lt;= 110</t>
  </si>
  <si>
    <t>&gt; 110 e &lt;=130</t>
  </si>
  <si>
    <t>&gt; 130 e &lt;=160</t>
  </si>
  <si>
    <t xml:space="preserve">x DISTINTA </t>
  </si>
  <si>
    <t>SA totale</t>
  </si>
  <si>
    <t>Per DISTINTA ONERI</t>
  </si>
  <si>
    <t>Per Nuova costruzione residenziale</t>
  </si>
  <si>
    <t xml:space="preserve">Per Nuova Costruzione </t>
  </si>
  <si>
    <t>Commerciale</t>
  </si>
  <si>
    <t>FOGLIO</t>
  </si>
  <si>
    <t>MAPPALE</t>
  </si>
  <si>
    <t>SUBALTERNO</t>
  </si>
  <si>
    <t>Sup. lorda per dest. produttive e agricole</t>
  </si>
  <si>
    <t>MQ.</t>
  </si>
  <si>
    <t>ARTIGIANATO DI SERVIZIO</t>
  </si>
  <si>
    <t>MOTETIZZAZIONE VERDE PUBBLICO U2</t>
  </si>
  <si>
    <t xml:space="preserve">realizzato </t>
  </si>
  <si>
    <t>non realizzato e non ceduto</t>
  </si>
  <si>
    <t>Area</t>
  </si>
  <si>
    <t>Produttiva, commerciale all'ingrosso e rurale</t>
  </si>
  <si>
    <t>Commerciale, artigianato di servizio</t>
  </si>
  <si>
    <t>URBANIZZAZIONE SECONDARIA - U2</t>
  </si>
  <si>
    <t>URBANIZZAZIONE PRIMARIA - U1</t>
  </si>
  <si>
    <t>QUOTA SUL COSTO DI COSTRUZIONE - QCC</t>
  </si>
  <si>
    <t>ZONA</t>
  </si>
  <si>
    <t>esterna al Territorio Urbanizzato</t>
  </si>
  <si>
    <t>interna al T.U. ma non dotata di infrastrutture</t>
  </si>
  <si>
    <t>interna al Territorio Urbanizzato</t>
  </si>
  <si>
    <t>Residenziale, turistico ricettivo e direzionale</t>
  </si>
  <si>
    <t>contributo "D"</t>
  </si>
  <si>
    <t>contributo "S"</t>
  </si>
  <si>
    <t>Kd</t>
  </si>
  <si>
    <t>Ks</t>
  </si>
  <si>
    <t>contributo straordinario "CS"</t>
  </si>
  <si>
    <t>FUORI DAL PERIMETRO DEL TERRITORIO URBANIZZATO</t>
  </si>
  <si>
    <t>SANZIONI</t>
  </si>
  <si>
    <t>MONETIZZ</t>
  </si>
  <si>
    <t>https://wwwt.agenziaentrate.gov.it/geopoi_omi/index.php</t>
  </si>
  <si>
    <t>U1</t>
  </si>
  <si>
    <t>U2</t>
  </si>
  <si>
    <t>ulteriori riduzioni particolari</t>
  </si>
  <si>
    <t>riduzione o incrementi della tariffa (DCC)</t>
  </si>
  <si>
    <t>1) Calcolare gli incrementi i1 e i2 seguendo le Tabelle1 e 2</t>
  </si>
  <si>
    <t>Tabella 1 - INCREMENTO PER SUPERFICIE UTILE - i1</t>
  </si>
  <si>
    <t>Classi di superfici</t>
  </si>
  <si>
    <t>Alloggi</t>
  </si>
  <si>
    <t>Superficie utile SU</t>
  </si>
  <si>
    <t>Rapporto rispetto</t>
  </si>
  <si>
    <t>% di incremento</t>
  </si>
  <si>
    <t>% di incremento per</t>
  </si>
  <si>
    <t>(mq)</t>
  </si>
  <si>
    <t>(n)</t>
  </si>
  <si>
    <t>al totale di SU</t>
  </si>
  <si>
    <t>classi di superfici</t>
  </si>
  <si>
    <t>(1)</t>
  </si>
  <si>
    <t>(2)</t>
  </si>
  <si>
    <t>(3)</t>
  </si>
  <si>
    <t>(4) = (3) : SU</t>
  </si>
  <si>
    <t>(5)</t>
  </si>
  <si>
    <t>(6) = (4) x (5)</t>
  </si>
  <si>
    <t>≤ 95</t>
  </si>
  <si>
    <t>&gt; 95 ≤ 110</t>
  </si>
  <si>
    <t>&gt; 110  ≤ 130</t>
  </si>
  <si>
    <t>&gt; 130 ≤ 160</t>
  </si>
  <si>
    <t>&gt; 160</t>
  </si>
  <si>
    <t>Totale SU</t>
  </si>
  <si>
    <t>Somma incrementi i1 =</t>
  </si>
  <si>
    <t>Tabella 2 - INCREMENTO PER SERVIZI ED ACCESSORI - i2</t>
  </si>
  <si>
    <t>Tot. SU</t>
  </si>
  <si>
    <t>Intervallo R di variabilità del rapporto percentuale (%)</t>
  </si>
  <si>
    <t>Ipotesi che ricorre</t>
  </si>
  <si>
    <t>% i2 corrispondente</t>
  </si>
  <si>
    <t>Tot. SA</t>
  </si>
  <si>
    <t>Tot. SC = SU + 60% SA =</t>
  </si>
  <si>
    <t xml:space="preserve">R = (SA: SU) * 100 = </t>
  </si>
  <si>
    <t>≤ 50</t>
  </si>
  <si>
    <t>&gt; 50 ≤ 75</t>
  </si>
  <si>
    <t>&gt; 75 ≤ 100</t>
  </si>
  <si>
    <t>&gt; 100</t>
  </si>
  <si>
    <t xml:space="preserve">2) Calcolare l’incremento i e la maggiorazione M </t>
  </si>
  <si>
    <t>Tabella 3 – CALCOLO INCREMENTO i E MAGGIORAZIONE M</t>
  </si>
  <si>
    <t>i = i1 + i2 =</t>
  </si>
  <si>
    <t>Classe edificio =</t>
  </si>
  <si>
    <t>Maggiorazione M =</t>
  </si>
  <si>
    <t>Intervalli %</t>
  </si>
  <si>
    <t>Classe/maggiorazione</t>
  </si>
  <si>
    <t>% di i fino a 5 inclusa:</t>
  </si>
  <si>
    <t>Classe I - M= 0</t>
  </si>
  <si>
    <t>% di i da 30 a 35 inclusa:</t>
  </si>
  <si>
    <t>Classe VII - M=30</t>
  </si>
  <si>
    <t>% di i da 5 a 10 inclusa:</t>
  </si>
  <si>
    <t>Classe II - M= 5</t>
  </si>
  <si>
    <t>% di i da 35 a 40 inclusa:</t>
  </si>
  <si>
    <t>Classe VIII - M=35</t>
  </si>
  <si>
    <t>% di i da 10 a 15 inclusa:</t>
  </si>
  <si>
    <t>Classe III - M=10</t>
  </si>
  <si>
    <t>% di i da 40 a 45 inclusa:</t>
  </si>
  <si>
    <t>Classe IX - M=40</t>
  </si>
  <si>
    <t>% di i da 15 a 20 inclusa:</t>
  </si>
  <si>
    <t>Classe IV - M=15</t>
  </si>
  <si>
    <t>% di i da 45 a 50 inclusa:</t>
  </si>
  <si>
    <t>Classe X - M=45</t>
  </si>
  <si>
    <t>% di i da 20 a 25 inclusa:</t>
  </si>
  <si>
    <t>Classe V - M=20</t>
  </si>
  <si>
    <t>% di i oltre 50%:</t>
  </si>
  <si>
    <t>Classe XI - M=50</t>
  </si>
  <si>
    <t>% di i da 25 a 30 inclusa:</t>
  </si>
  <si>
    <t>Classe VI - M=25</t>
  </si>
  <si>
    <t xml:space="preserve">3) Calcolare il costo di costruzione convenzionale unitario A (come definito al punto 5.1 della DAL 186/2018) </t>
  </si>
  <si>
    <t>€/mq</t>
  </si>
  <si>
    <t xml:space="preserve">4) Calcolare il costo di costruzione unitario maggiorato B </t>
  </si>
  <si>
    <t xml:space="preserve">B = A * (1 + M/100) =   </t>
  </si>
  <si>
    <t>dove:</t>
  </si>
  <si>
    <t>5) Calcolare il QCC relativo al costo di costruzione:</t>
  </si>
  <si>
    <t>€</t>
  </si>
  <si>
    <t>B *P =</t>
  </si>
  <si>
    <t>Se B*P è minore di 25 €/mq allora B*P è da considerarsi pari a 25 €/mq                                P*B è</t>
  </si>
  <si>
    <t>B * P =</t>
  </si>
  <si>
    <t>(In riferimento alle unità immobiliari aventi le caratteristiche delle abitazioni di lusso, così come definite dal DM 2 agosto 1969, o agli edifici provvisti di eliporto, il valore percentuale P è pari al 20%)</t>
  </si>
  <si>
    <t>abitazioni di lusso (SI/NO) =</t>
  </si>
  <si>
    <t>no</t>
  </si>
  <si>
    <t>P =</t>
  </si>
  <si>
    <t>%</t>
  </si>
  <si>
    <t>Tabella 4 - Percentuale P in relazione al costo di costruzione unitario maggiorato B</t>
  </si>
  <si>
    <t>Classi di valori imponibili “B” (€/mq)</t>
  </si>
  <si>
    <t>&lt; 500</t>
  </si>
  <si>
    <t>501 - 1.000</t>
  </si>
  <si>
    <t>1.001 - 1.500</t>
  </si>
  <si>
    <t>1.501 - 2.000</t>
  </si>
  <si>
    <t>2.001 - 2.500</t>
  </si>
  <si>
    <t>2.501 - 3.000</t>
  </si>
  <si>
    <t>3.001 - 3.500</t>
  </si>
  <si>
    <t>3.501 - 4.000</t>
  </si>
  <si>
    <t>4.001 - 4.500</t>
  </si>
  <si>
    <t>&gt; 4.501</t>
  </si>
  <si>
    <t>Classe</t>
  </si>
  <si>
    <t>Maggiorazione</t>
  </si>
  <si>
    <r>
      <t xml:space="preserve">SCHEDA A - Calcolo QCC per interventi di nuova costruzione e per interventi di ristrutturazione
con demolizione e ricostruzione. </t>
    </r>
    <r>
      <rPr>
        <b/>
        <u val="single"/>
        <sz val="12"/>
        <rFont val="Calibri"/>
        <family val="2"/>
      </rPr>
      <t>Categoria funzionale: residenza</t>
    </r>
  </si>
  <si>
    <r>
      <t xml:space="preserve">A </t>
    </r>
    <r>
      <rPr>
        <sz val="11"/>
        <rFont val="Calibri"/>
        <family val="2"/>
      </rPr>
      <t xml:space="preserve">= </t>
    </r>
  </si>
  <si>
    <r>
      <t>A</t>
    </r>
    <r>
      <rPr>
        <sz val="10"/>
        <rFont val="Calibri"/>
        <family val="2"/>
      </rPr>
      <t xml:space="preserve"> è il costo di costruzione convenzionale unitario </t>
    </r>
  </si>
  <si>
    <r>
      <t>M</t>
    </r>
    <r>
      <rPr>
        <sz val="10"/>
        <rFont val="Calibri"/>
        <family val="2"/>
      </rPr>
      <t xml:space="preserve"> è la maggiorazione calcolata rispetto alla classe edificio </t>
    </r>
  </si>
  <si>
    <r>
      <t xml:space="preserve">QCC = (B * P) * SC * </t>
    </r>
    <r>
      <rPr>
        <b/>
        <sz val="11"/>
        <color indexed="8"/>
        <rFont val="Calibri"/>
        <family val="2"/>
      </rPr>
      <t xml:space="preserve">% riduzione </t>
    </r>
    <r>
      <rPr>
        <b/>
        <sz val="11"/>
        <rFont val="Calibri"/>
        <family val="2"/>
      </rPr>
      <t xml:space="preserve">=        </t>
    </r>
  </si>
  <si>
    <r>
      <t>B</t>
    </r>
    <r>
      <rPr>
        <sz val="10"/>
        <rFont val="Calibri"/>
        <family val="2"/>
      </rPr>
      <t xml:space="preserve"> è il costo di costruzione unitario maggiorato </t>
    </r>
    <r>
      <rPr>
        <u val="single"/>
        <sz val="10"/>
        <rFont val="Calibri"/>
        <family val="2"/>
      </rPr>
      <t xml:space="preserve"> </t>
    </r>
  </si>
  <si>
    <r>
      <t>P</t>
    </r>
    <r>
      <rPr>
        <sz val="10"/>
        <rFont val="Calibri"/>
        <family val="2"/>
      </rPr>
      <t xml:space="preserve"> è la percentuale in relazione al costo di costruzione unitario maggiorato B (Tab. 4 della Scheda A)</t>
    </r>
  </si>
  <si>
    <r>
      <t>SC</t>
    </r>
    <r>
      <rPr>
        <sz val="10"/>
        <rFont val="Calibri"/>
        <family val="2"/>
      </rPr>
      <t xml:space="preserve"> è la superficie complessiva </t>
    </r>
  </si>
  <si>
    <r>
      <t xml:space="preserve"> % riduzione</t>
    </r>
    <r>
      <rPr>
        <sz val="10"/>
        <rFont val="Calibri"/>
        <family val="2"/>
      </rPr>
      <t xml:space="preserve"> è l'eventuale riduzione della QCC per gli immobili </t>
    </r>
    <r>
      <rPr>
        <u val="single"/>
        <sz val="10"/>
        <rFont val="Calibri"/>
        <family val="2"/>
      </rPr>
      <t>collocati all’interno del territorio urbanizzato</t>
    </r>
    <r>
      <rPr>
        <sz val="10"/>
        <rFont val="Calibri"/>
        <family val="2"/>
      </rPr>
      <t xml:space="preserve"> relativi a interventi di ristrutturazione urbanistica ed edilizia, addensamento o sostituzione urbana, e per interventi di recupero o riuso di immobili dismessi o in via di dismissione (par. 5.3.12).  Per interventi di </t>
    </r>
    <r>
      <rPr>
        <u val="single"/>
        <sz val="10"/>
        <rFont val="Calibri"/>
        <family val="2"/>
      </rPr>
      <t>ristrutturazione edilizia eseguita mediante demolizione e ricostruzione</t>
    </r>
    <r>
      <rPr>
        <sz val="10"/>
        <rFont val="Calibri"/>
        <family val="2"/>
      </rPr>
      <t xml:space="preserve"> la % riduzione è pari al:</t>
    </r>
  </si>
  <si>
    <t>1) Calcolare l’incidenza totale dei lavori da eseguire (i) seguendo la Tabella 5</t>
  </si>
  <si>
    <t xml:space="preserve">Tabella 5 – Stima dell’incidenza delle opere </t>
  </si>
  <si>
    <t>Incidenza delle singole categorie di lavori da eseguire</t>
  </si>
  <si>
    <t>Stima della incidenza dei lavori (%)</t>
  </si>
  <si>
    <t>Incidenza (i1)</t>
  </si>
  <si>
    <t>Fondazioni</t>
  </si>
  <si>
    <t>Travi-Pilastri</t>
  </si>
  <si>
    <t xml:space="preserve">Tamponamenti </t>
  </si>
  <si>
    <t>Muri portanti</t>
  </si>
  <si>
    <t>Solai, balconi</t>
  </si>
  <si>
    <t>Tramezzi interni</t>
  </si>
  <si>
    <t>Coperture</t>
  </si>
  <si>
    <t xml:space="preserve">Incidenza delle opere strutturali (i1) (max 50%)                                                                                                                                                                                            </t>
  </si>
  <si>
    <t xml:space="preserve"> Totale ( i1) =</t>
  </si>
  <si>
    <t xml:space="preserve">Incidenza delle opere di finitura (i2)                                                                                                                                                                                                                    </t>
  </si>
  <si>
    <t>(i2) = (i1) =</t>
  </si>
  <si>
    <t xml:space="preserve">                                                                           (i) = (i1) + (i2) =     </t>
  </si>
  <si>
    <t>(Indicare con 1  le ipotesi che ricorrono)</t>
  </si>
  <si>
    <t xml:space="preserve">2) Calcolare il costo di costruzione convenzionale unitario A (come definito al punto 5.1 della DAL 186/2018) </t>
  </si>
  <si>
    <t>Il valore A tiene conto anche dell'eventuale riduzione applicabile nei primi 5 anni dall'entrata in vigore della DAL per i Comuni aventi "A medio" &gt; 1.050 €/mq</t>
  </si>
  <si>
    <t>3) Calcolare il QCC relativo al costo di costruzione:</t>
  </si>
  <si>
    <t xml:space="preserve">QCC = A * P * SC * (i) * % riduzione =        </t>
  </si>
  <si>
    <t>A*P =</t>
  </si>
  <si>
    <t>In riferimento alle unità immobiliari aventi le caratteristiche delle abitazioni di lusso, così come definite dal DM 2 agosto 1969, o agli edifici provvisti di eliporto, il valore percentuale P è pari al 20%.</t>
  </si>
  <si>
    <t>SU = mq</t>
  </si>
  <si>
    <t>SA = mq</t>
  </si>
  <si>
    <t xml:space="preserve">SC = </t>
  </si>
  <si>
    <t>mq</t>
  </si>
  <si>
    <t>Tabella 6 - Percentuale P in relazione al costo di costruzione unitario A</t>
  </si>
  <si>
    <t>Classi di valori imponibili “A” (€/mq)</t>
  </si>
  <si>
    <r>
      <t xml:space="preserve">SCHEDA B - Calcolo QCC per interventi su edifici esistenti. </t>
    </r>
    <r>
      <rPr>
        <b/>
        <u val="single"/>
        <sz val="12"/>
        <rFont val="Calibri"/>
        <family val="2"/>
      </rPr>
      <t>Categoria funzionale: residenza</t>
    </r>
  </si>
  <si>
    <r>
      <t xml:space="preserve">Se A*P è minore di 25 €/mq allora A*P è da considerarsi pari a 25 €/mq.                                   </t>
    </r>
    <r>
      <rPr>
        <sz val="10"/>
        <rFont val="Calibri"/>
        <family val="2"/>
      </rPr>
      <t xml:space="preserve"> A*P è</t>
    </r>
  </si>
  <si>
    <r>
      <t>A</t>
    </r>
    <r>
      <rPr>
        <sz val="10"/>
        <rFont val="Calibri"/>
        <family val="2"/>
      </rPr>
      <t xml:space="preserve"> è il costo di costruzione convenzionale unitario</t>
    </r>
  </si>
  <si>
    <r>
      <t>P</t>
    </r>
    <r>
      <rPr>
        <sz val="10"/>
        <rFont val="Calibri"/>
        <family val="2"/>
      </rPr>
      <t xml:space="preserve"> è la percentuale in relazione al costo di costruzione convenzionale unitario A (Tabella 6)</t>
    </r>
  </si>
  <si>
    <r>
      <t>(i)</t>
    </r>
    <r>
      <rPr>
        <sz val="10"/>
        <rFont val="Calibri"/>
        <family val="2"/>
      </rPr>
      <t xml:space="preserve"> è l’incidenza totale dei lavori da eseguire </t>
    </r>
  </si>
  <si>
    <r>
      <t xml:space="preserve"> % riduzione</t>
    </r>
    <r>
      <rPr>
        <sz val="10"/>
        <rFont val="Calibri"/>
        <family val="2"/>
      </rPr>
      <t xml:space="preserve"> è l'eventuale riduzione della QCC per gli immobili </t>
    </r>
    <r>
      <rPr>
        <u val="single"/>
        <sz val="10"/>
        <rFont val="Calibri"/>
        <family val="2"/>
      </rPr>
      <t>collocati all’interno del territorio urbanizzato</t>
    </r>
    <r>
      <rPr>
        <sz val="10"/>
        <rFont val="Calibri"/>
        <family val="2"/>
      </rPr>
      <t xml:space="preserve"> relativi a interventi di ristrutturazione urbanistica ed edilizia, addensamento o sostituzione urbana, e per interventi di recupero o riuso di immobili dismessi o in via di dismissione (par. 5.3.12). La % riduzione è pari al:</t>
    </r>
  </si>
  <si>
    <t xml:space="preserve">1) Calcolare il costo di costruzione convenzionale unitario A (come definito al punto 5.1 della DAL 186/2018) </t>
  </si>
  <si>
    <t>L'intervento è una ristrutturazione edilizia eseguita con demolizione e ricostruzione (SI/NO)</t>
  </si>
  <si>
    <t>2) Calcolare il QCC relativo al costo di costruzione:</t>
  </si>
  <si>
    <t>QCC = A * SC  * ….% * % riduzione =</t>
  </si>
  <si>
    <t xml:space="preserve">per gli interventi su strutture esistenti destinate ad attività comemrciali, turistico ricettive, direzionali o fornitrici di servizi di carattere non artigianale, la QCC è ridotta al 50% </t>
  </si>
  <si>
    <t>SC = mq</t>
  </si>
  <si>
    <t>% =</t>
  </si>
  <si>
    <r>
      <t xml:space="preserve">SCHEDA D - Calcolo QCC per interventi di nuova costruzione 
e per interventi di ristrutturazione con demolizione e ricostruzione
</t>
    </r>
    <r>
      <rPr>
        <b/>
        <u val="single"/>
        <sz val="12"/>
        <rFont val="Calibri"/>
        <family val="2"/>
      </rPr>
      <t>Categoria funzionale: commerciali, turistico ricettive, direzionali o fornitrici di servizi, di carattere non artigianale</t>
    </r>
  </si>
  <si>
    <r>
      <t>SC</t>
    </r>
    <r>
      <rPr>
        <sz val="10"/>
        <rFont val="Calibri"/>
        <family val="2"/>
      </rPr>
      <t xml:space="preserve"> è la superficie complessiva</t>
    </r>
  </si>
  <si>
    <r>
      <t>…%</t>
    </r>
    <r>
      <rPr>
        <sz val="10"/>
        <rFont val="Courier New"/>
        <family val="3"/>
      </rPr>
      <t xml:space="preserve"> </t>
    </r>
    <r>
      <rPr>
        <sz val="10"/>
        <rFont val="Calibri"/>
        <family val="2"/>
      </rPr>
      <t>è la percentuale determinata dal Comune (vedi punto 5.5.2 della DAL) oppure si assume uguale a 10%</t>
    </r>
  </si>
  <si>
    <r>
      <t xml:space="preserve"> % riduzione</t>
    </r>
    <r>
      <rPr>
        <sz val="10"/>
        <rFont val="Calibri"/>
        <family val="2"/>
      </rPr>
      <t xml:space="preserve"> è l'eventuale riduzione della QCC per gli immobili </t>
    </r>
    <r>
      <rPr>
        <u val="single"/>
        <sz val="10"/>
        <rFont val="Calibri"/>
        <family val="2"/>
      </rPr>
      <t>collocati all’interno del territorio urbanizzato</t>
    </r>
    <r>
      <rPr>
        <sz val="10"/>
        <rFont val="Calibri"/>
        <family val="2"/>
      </rPr>
      <t xml:space="preserve"> relativi a interventi di ristrutturazione urbanistica ed edilizia, addensamento o sostituzione urbana, e per interventi di recupero o riuso di immobili dismessi o in via di dismissione (par. 5.3.12). Per interventi di </t>
    </r>
    <r>
      <rPr>
        <u val="single"/>
        <sz val="10"/>
        <rFont val="Calibri"/>
        <family val="2"/>
      </rPr>
      <t>ristrutturazione edilizia eseguita mediante demolizione e ricostruzione</t>
    </r>
    <r>
      <rPr>
        <sz val="10"/>
        <rFont val="Calibri"/>
        <family val="2"/>
      </rPr>
      <t xml:space="preserve"> la % riduzione è pari al:</t>
    </r>
  </si>
  <si>
    <t>QCC = A * SC * (i) * 0,5 * ….% * % riduzione =</t>
  </si>
  <si>
    <t>SC =  mq</t>
  </si>
  <si>
    <r>
      <t xml:space="preserve">SCHEDA D - Calcolo QCC per interventi su edifici esistenti                                 
</t>
    </r>
    <r>
      <rPr>
        <b/>
        <u val="single"/>
        <sz val="12"/>
        <rFont val="Calibri"/>
        <family val="2"/>
      </rPr>
      <t>Categoria funzionale: commerciali, turistico ricettive, direzionali o fornitrici di servizi, di carattere non artigianale</t>
    </r>
  </si>
  <si>
    <r>
      <t xml:space="preserve">0,5 </t>
    </r>
    <r>
      <rPr>
        <sz val="10"/>
        <rFont val="Calibri"/>
        <family val="2"/>
      </rPr>
      <t xml:space="preserve">(vedi punto 5.5.4. della DAL) </t>
    </r>
  </si>
  <si>
    <r>
      <t>…%</t>
    </r>
    <r>
      <rPr>
        <sz val="10"/>
        <rFont val="Courier New"/>
        <family val="3"/>
      </rPr>
      <t xml:space="preserve"> </t>
    </r>
    <r>
      <rPr>
        <sz val="10"/>
        <rFont val="Calibri"/>
        <family val="2"/>
      </rPr>
      <t>è la percentuale determinata dal Comune (vedi punto 5.5.2 della DAL) oppure si assume uguale a 10</t>
    </r>
  </si>
  <si>
    <t>solo AGRICOLO</t>
  </si>
  <si>
    <t xml:space="preserve"> D2 
solo Agricolo
(mq lordi)</t>
  </si>
  <si>
    <t xml:space="preserve">  E2
solo Turistico</t>
  </si>
  <si>
    <t>Residenziale, Direzionale e Turistico</t>
  </si>
  <si>
    <t>Commerciale e Artigianato Servizi</t>
  </si>
  <si>
    <t>Produttivo e Agricolo
(mq lordi)</t>
  </si>
  <si>
    <t>solo Artigianato Servizi</t>
  </si>
  <si>
    <t>SV per commerciale</t>
  </si>
  <si>
    <t>solo Commerciale con SV &gt; 250</t>
  </si>
  <si>
    <t>solo Commerciale con SV &lt;= 250</t>
  </si>
  <si>
    <t>Artigianato di servizio e Commerciale con 
SV &lt; 250mq.</t>
  </si>
  <si>
    <t>Solo ristrutturazione</t>
  </si>
  <si>
    <t xml:space="preserve">SA Direzionale esistente </t>
  </si>
  <si>
    <t>SU Direzionale esistente</t>
  </si>
  <si>
    <t>SA Commerciale esistente</t>
  </si>
  <si>
    <t xml:space="preserve">SU Commerciale esistente </t>
  </si>
  <si>
    <t xml:space="preserve">SA Residenziale esistente </t>
  </si>
  <si>
    <t>SU Residenziale esistente</t>
  </si>
  <si>
    <t>SA Turistico esistente</t>
  </si>
  <si>
    <t xml:space="preserve">SU Turistico esistente </t>
  </si>
  <si>
    <t>SA Artigianato di servizio</t>
  </si>
  <si>
    <t>SU Artigianato di servizio</t>
  </si>
  <si>
    <t>SA Commerciale</t>
  </si>
  <si>
    <t>SU Commerciale</t>
  </si>
  <si>
    <t>SA Direzionale</t>
  </si>
  <si>
    <t>SU Direzionale</t>
  </si>
  <si>
    <t>SA Turistico</t>
  </si>
  <si>
    <t>SU Turistico</t>
  </si>
  <si>
    <t>Quotazioni OMI - AGENZIA DELLE ENTRATE - progetto</t>
  </si>
  <si>
    <t>Quotazioni OMI - AGENZIA DELLE ENTRATE - esistente</t>
  </si>
  <si>
    <t>progetto - esistente</t>
  </si>
  <si>
    <t>attenzione al segno + o -</t>
  </si>
  <si>
    <t>Costo dell'intervento</t>
  </si>
  <si>
    <t>in detrazione oneri versati in data ______</t>
  </si>
  <si>
    <t>CONGUAGLIO</t>
  </si>
  <si>
    <t>EVENTUALE SANZIONE DI MORA PER RITARDATO PAGAMENTO</t>
  </si>
  <si>
    <t>DATA RILASCIO</t>
  </si>
  <si>
    <t>TOTALE</t>
  </si>
  <si>
    <t>1' RATA</t>
  </si>
  <si>
    <t>2' RATA</t>
  </si>
  <si>
    <t>3' RATA</t>
  </si>
  <si>
    <t>4' RATA</t>
  </si>
  <si>
    <t>DD  n. 1055/2023 del 18/12/2023</t>
  </si>
  <si>
    <t>TARIFFE IN VIGORE DAL 23/01/2024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</si>
</sst>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_ ;\-#,##0.00\ "/>
    <numFmt numFmtId="173" formatCode="#,##0.00000"/>
    <numFmt numFmtId="174" formatCode="0.00000"/>
    <numFmt numFmtId="175" formatCode="&quot;L.&quot;#,##0"/>
    <numFmt numFmtId="176" formatCode="_-&quot;€&quot;\ * #,##0.00000_-;\-&quot;€&quot;\ * #,##0.00000_-;_-&quot;€&quot;\ * &quot;-&quot;?????_-;_-@_-"/>
    <numFmt numFmtId="177" formatCode="0.000"/>
    <numFmt numFmtId="178" formatCode="[$€-2]\ #,##0.00;[Red]\-[$€-2]\ 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1"/>
      <name val="Helvetica-Narrow"/>
      <family val="0"/>
    </font>
    <font>
      <sz val="8"/>
      <name val="Helvetica-Narrow"/>
      <family val="0"/>
    </font>
    <font>
      <b/>
      <sz val="10"/>
      <color indexed="10"/>
      <name val="Arial"/>
      <family val="2"/>
    </font>
    <font>
      <b/>
      <sz val="9"/>
      <name val="Tahoma"/>
      <family val="0"/>
    </font>
    <font>
      <sz val="10"/>
      <color indexed="12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7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b/>
      <i/>
      <sz val="10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9.5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u val="single"/>
      <sz val="10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i/>
      <sz val="9"/>
      <color indexed="63"/>
      <name val="Calibri"/>
      <family val="2"/>
    </font>
    <font>
      <b/>
      <i/>
      <sz val="10"/>
      <color indexed="63"/>
      <name val="Calibri"/>
      <family val="2"/>
    </font>
    <font>
      <b/>
      <sz val="10.5"/>
      <name val="Calibri"/>
      <family val="2"/>
    </font>
    <font>
      <b/>
      <sz val="10"/>
      <color indexed="8"/>
      <name val="Calibri"/>
      <family val="2"/>
    </font>
    <font>
      <i/>
      <sz val="11"/>
      <name val="Calibri"/>
      <family val="2"/>
    </font>
    <font>
      <sz val="10"/>
      <name val="Courier New"/>
      <family val="3"/>
    </font>
    <font>
      <b/>
      <sz val="10"/>
      <name val="Courier New"/>
      <family val="3"/>
    </font>
    <font>
      <i/>
      <sz val="9"/>
      <name val="Calibri"/>
      <family val="2"/>
    </font>
    <font>
      <u val="single"/>
      <sz val="13"/>
      <color indexed="36"/>
      <name val="Arial"/>
      <family val="0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thin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/>
      <right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3" fillId="16" borderId="1" applyNumberFormat="0" applyAlignment="0" applyProtection="0"/>
    <xf numFmtId="0" fontId="34" fillId="0" borderId="2" applyNumberFormat="0" applyFill="0" applyAlignment="0" applyProtection="0"/>
    <xf numFmtId="0" fontId="35" fillId="17" borderId="3" applyNumberFormat="0" applyAlignment="0" applyProtection="0"/>
    <xf numFmtId="0" fontId="2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16" fillId="0" borderId="0" applyNumberFormat="0" applyAlignment="0" applyProtection="0"/>
    <xf numFmtId="0" fontId="3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175" fontId="17" fillId="0" borderId="0" applyNumberFormat="0" applyAlignment="0" applyProtection="0"/>
    <xf numFmtId="0" fontId="32" fillId="16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/>
    </xf>
    <xf numFmtId="4" fontId="0" fillId="0" borderId="12" xfId="0" applyNumberForma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6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7" borderId="14" xfId="0" applyNumberFormat="1" applyFill="1" applyBorder="1" applyAlignment="1">
      <alignment/>
    </xf>
    <xf numFmtId="2" fontId="0" fillId="7" borderId="15" xfId="0" applyNumberFormat="1" applyFill="1" applyBorder="1" applyAlignment="1">
      <alignment/>
    </xf>
    <xf numFmtId="2" fontId="0" fillId="7" borderId="16" xfId="0" applyNumberFormat="1" applyFill="1" applyBorder="1" applyAlignment="1">
      <alignment vertical="center"/>
    </xf>
    <xf numFmtId="2" fontId="0" fillId="7" borderId="17" xfId="0" applyNumberFormat="1" applyFill="1" applyBorder="1" applyAlignment="1">
      <alignment vertical="center"/>
    </xf>
    <xf numFmtId="2" fontId="0" fillId="7" borderId="18" xfId="0" applyNumberFormat="1" applyFill="1" applyBorder="1" applyAlignment="1">
      <alignment vertical="center"/>
    </xf>
    <xf numFmtId="2" fontId="0" fillId="7" borderId="19" xfId="0" applyNumberFormat="1" applyFill="1" applyBorder="1" applyAlignment="1">
      <alignment/>
    </xf>
    <xf numFmtId="2" fontId="0" fillId="7" borderId="20" xfId="0" applyNumberFormat="1" applyFill="1" applyBorder="1" applyAlignment="1">
      <alignment/>
    </xf>
    <xf numFmtId="2" fontId="0" fillId="7" borderId="18" xfId="0" applyNumberFormat="1" applyFill="1" applyBorder="1" applyAlignment="1">
      <alignment/>
    </xf>
    <xf numFmtId="0" fontId="9" fillId="0" borderId="0" xfId="0" applyFont="1" applyAlignment="1">
      <alignment/>
    </xf>
    <xf numFmtId="2" fontId="0" fillId="7" borderId="21" xfId="0" applyNumberFormat="1" applyFill="1" applyBorder="1" applyAlignment="1">
      <alignment vertical="center"/>
    </xf>
    <xf numFmtId="2" fontId="0" fillId="7" borderId="22" xfId="0" applyNumberFormat="1" applyFill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22" borderId="23" xfId="0" applyFill="1" applyBorder="1" applyAlignment="1" applyProtection="1">
      <alignment/>
      <protection locked="0"/>
    </xf>
    <xf numFmtId="0" fontId="0" fillId="22" borderId="24" xfId="0" applyFill="1" applyBorder="1" applyAlignment="1" applyProtection="1">
      <alignment/>
      <protection locked="0"/>
    </xf>
    <xf numFmtId="0" fontId="0" fillId="22" borderId="24" xfId="0" applyFill="1" applyBorder="1" applyAlignment="1" applyProtection="1">
      <alignment horizontal="center"/>
      <protection locked="0"/>
    </xf>
    <xf numFmtId="0" fontId="0" fillId="22" borderId="25" xfId="0" applyFill="1" applyBorder="1" applyAlignment="1" applyProtection="1">
      <alignment horizontal="center"/>
      <protection locked="0"/>
    </xf>
    <xf numFmtId="0" fontId="0" fillId="22" borderId="26" xfId="0" applyFill="1" applyBorder="1" applyAlignment="1" applyProtection="1">
      <alignment/>
      <protection locked="0"/>
    </xf>
    <xf numFmtId="0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7" borderId="25" xfId="0" applyFill="1" applyBorder="1" applyAlignment="1" applyProtection="1">
      <alignment horizontal="center"/>
      <protection hidden="1"/>
    </xf>
    <xf numFmtId="4" fontId="0" fillId="7" borderId="27" xfId="0" applyNumberFormat="1" applyFill="1" applyBorder="1" applyAlignment="1">
      <alignment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 vertical="top" wrapText="1"/>
    </xf>
    <xf numFmtId="9" fontId="0" fillId="7" borderId="10" xfId="0" applyNumberFormat="1" applyFill="1" applyBorder="1" applyAlignment="1">
      <alignment/>
    </xf>
    <xf numFmtId="9" fontId="0" fillId="7" borderId="0" xfId="0" applyNumberForma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0" xfId="0" applyBorder="1" applyAlignment="1">
      <alignment vertical="top" wrapText="1"/>
    </xf>
    <xf numFmtId="0" fontId="0" fillId="0" borderId="31" xfId="0" applyBorder="1" applyAlignment="1" applyProtection="1">
      <alignment vertical="top" wrapText="1"/>
      <protection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4" fontId="0" fillId="22" borderId="31" xfId="0" applyNumberFormat="1" applyFill="1" applyBorder="1" applyAlignment="1" applyProtection="1">
      <alignment/>
      <protection locked="0"/>
    </xf>
    <xf numFmtId="0" fontId="0" fillId="22" borderId="12" xfId="0" applyFill="1" applyBorder="1" applyAlignment="1" applyProtection="1">
      <alignment/>
      <protection locked="0"/>
    </xf>
    <xf numFmtId="0" fontId="0" fillId="22" borderId="10" xfId="0" applyFill="1" applyBorder="1" applyAlignment="1" applyProtection="1">
      <alignment/>
      <protection locked="0"/>
    </xf>
    <xf numFmtId="172" fontId="0" fillId="22" borderId="12" xfId="65" applyNumberFormat="1" applyFont="1" applyFill="1" applyBorder="1" applyAlignment="1" applyProtection="1">
      <alignment horizontal="center"/>
      <protection locked="0"/>
    </xf>
    <xf numFmtId="0" fontId="0" fillId="22" borderId="32" xfId="0" applyFill="1" applyBorder="1" applyAlignment="1" applyProtection="1">
      <alignment horizontal="center"/>
      <protection locked="0"/>
    </xf>
    <xf numFmtId="0" fontId="0" fillId="22" borderId="33" xfId="0" applyFill="1" applyBorder="1" applyAlignment="1" applyProtection="1">
      <alignment horizontal="center"/>
      <protection locked="0"/>
    </xf>
    <xf numFmtId="0" fontId="0" fillId="22" borderId="34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vertical="top" wrapText="1"/>
      <protection/>
    </xf>
    <xf numFmtId="170" fontId="0" fillId="7" borderId="12" xfId="65" applyNumberFormat="1" applyFont="1" applyFill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/>
    </xf>
    <xf numFmtId="174" fontId="4" fillId="0" borderId="0" xfId="0" applyNumberFormat="1" applyFont="1" applyAlignment="1">
      <alignment horizontal="center" vertical="center" wrapText="1"/>
    </xf>
    <xf numFmtId="174" fontId="0" fillId="0" borderId="0" xfId="0" applyNumberFormat="1" applyAlignment="1">
      <alignment/>
    </xf>
    <xf numFmtId="0" fontId="0" fillId="0" borderId="0" xfId="0" applyFont="1" applyAlignment="1">
      <alignment horizontal="center" vertical="center" wrapText="1"/>
    </xf>
    <xf numFmtId="4" fontId="12" fillId="7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center" vertical="center" textRotation="90" wrapText="1"/>
    </xf>
    <xf numFmtId="4" fontId="0" fillId="0" borderId="10" xfId="0" applyNumberFormat="1" applyBorder="1" applyAlignment="1">
      <alignment/>
    </xf>
    <xf numFmtId="2" fontId="2" fillId="7" borderId="0" xfId="0" applyNumberFormat="1" applyFont="1" applyFill="1" applyBorder="1" applyAlignment="1">
      <alignment/>
    </xf>
    <xf numFmtId="2" fontId="2" fillId="7" borderId="10" xfId="0" applyNumberFormat="1" applyFont="1" applyFill="1" applyBorder="1" applyAlignment="1">
      <alignment/>
    </xf>
    <xf numFmtId="173" fontId="0" fillId="24" borderId="13" xfId="0" applyNumberFormat="1" applyFill="1" applyBorder="1" applyAlignment="1">
      <alignment/>
    </xf>
    <xf numFmtId="173" fontId="0" fillId="24" borderId="0" xfId="0" applyNumberFormat="1" applyFill="1" applyBorder="1" applyAlignment="1">
      <alignment/>
    </xf>
    <xf numFmtId="173" fontId="0" fillId="24" borderId="10" xfId="0" applyNumberFormat="1" applyFill="1" applyBorder="1" applyAlignment="1">
      <alignment/>
    </xf>
    <xf numFmtId="4" fontId="10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2" fillId="0" borderId="0" xfId="36" applyAlignment="1" applyProtection="1">
      <alignment horizontal="center" vertical="center" wrapText="1"/>
      <protection/>
    </xf>
    <xf numFmtId="170" fontId="0" fillId="0" borderId="0" xfId="65" applyNumberFormat="1" applyFont="1" applyAlignment="1">
      <alignment horizontal="right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174" fontId="0" fillId="7" borderId="0" xfId="0" applyNumberFormat="1" applyFont="1" applyFill="1" applyBorder="1" applyAlignment="1">
      <alignment/>
    </xf>
    <xf numFmtId="4" fontId="0" fillId="7" borderId="0" xfId="0" applyNumberFormat="1" applyFont="1" applyFill="1" applyBorder="1" applyAlignment="1">
      <alignment/>
    </xf>
    <xf numFmtId="9" fontId="0" fillId="22" borderId="0" xfId="0" applyNumberFormat="1" applyFont="1" applyFill="1" applyBorder="1" applyAlignment="1" applyProtection="1">
      <alignment/>
      <protection locked="0"/>
    </xf>
    <xf numFmtId="4" fontId="0" fillId="7" borderId="3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4" fontId="0" fillId="7" borderId="10" xfId="0" applyNumberFormat="1" applyFont="1" applyFill="1" applyBorder="1" applyAlignment="1">
      <alignment/>
    </xf>
    <xf numFmtId="4" fontId="0" fillId="7" borderId="10" xfId="0" applyNumberFormat="1" applyFont="1" applyFill="1" applyBorder="1" applyAlignment="1">
      <alignment/>
    </xf>
    <xf numFmtId="4" fontId="0" fillId="7" borderId="37" xfId="0" applyNumberFormat="1" applyFont="1" applyFill="1" applyBorder="1" applyAlignment="1">
      <alignment/>
    </xf>
    <xf numFmtId="9" fontId="0" fillId="7" borderId="0" xfId="0" applyNumberFormat="1" applyFont="1" applyFill="1" applyBorder="1" applyAlignment="1">
      <alignment/>
    </xf>
    <xf numFmtId="9" fontId="0" fillId="7" borderId="10" xfId="0" applyNumberFormat="1" applyFont="1" applyFill="1" applyBorder="1" applyAlignment="1">
      <alignment/>
    </xf>
    <xf numFmtId="0" fontId="0" fillId="7" borderId="0" xfId="0" applyFill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42" fillId="0" borderId="0" xfId="49" applyFont="1" applyBorder="1" applyAlignment="1" applyProtection="1">
      <alignment horizontal="center"/>
      <protection/>
    </xf>
    <xf numFmtId="0" fontId="43" fillId="0" borderId="0" xfId="49" applyFont="1" applyBorder="1" applyProtection="1">
      <alignment/>
      <protection/>
    </xf>
    <xf numFmtId="0" fontId="44" fillId="0" borderId="0" xfId="49" applyFont="1" applyFill="1" applyBorder="1" applyProtection="1">
      <alignment/>
      <protection/>
    </xf>
    <xf numFmtId="0" fontId="43" fillId="0" borderId="0" xfId="49" applyFont="1" applyFill="1" applyBorder="1" applyProtection="1">
      <alignment/>
      <protection/>
    </xf>
    <xf numFmtId="0" fontId="45" fillId="0" borderId="0" xfId="49" applyFont="1" applyFill="1" applyBorder="1" applyProtection="1">
      <alignment/>
      <protection/>
    </xf>
    <xf numFmtId="0" fontId="43" fillId="0" borderId="38" xfId="49" applyFont="1" applyFill="1" applyBorder="1" applyAlignment="1" applyProtection="1">
      <alignment horizontal="center"/>
      <protection/>
    </xf>
    <xf numFmtId="0" fontId="46" fillId="0" borderId="0" xfId="49" applyFont="1" applyBorder="1" applyProtection="1">
      <alignment/>
      <protection/>
    </xf>
    <xf numFmtId="0" fontId="43" fillId="0" borderId="39" xfId="49" applyFont="1" applyFill="1" applyBorder="1" applyAlignment="1" applyProtection="1">
      <alignment horizontal="center"/>
      <protection/>
    </xf>
    <xf numFmtId="49" fontId="43" fillId="0" borderId="40" xfId="49" applyNumberFormat="1" applyFont="1" applyFill="1" applyBorder="1" applyAlignment="1" applyProtection="1">
      <alignment horizontal="center"/>
      <protection/>
    </xf>
    <xf numFmtId="0" fontId="47" fillId="0" borderId="0" xfId="49" applyFont="1" applyBorder="1" applyProtection="1">
      <alignment/>
      <protection/>
    </xf>
    <xf numFmtId="0" fontId="43" fillId="0" borderId="40" xfId="49" applyFont="1" applyBorder="1" applyAlignment="1" applyProtection="1">
      <alignment horizontal="center" vertical="center" wrapText="1"/>
      <protection/>
    </xf>
    <xf numFmtId="4" fontId="43" fillId="0" borderId="40" xfId="49" applyNumberFormat="1" applyFont="1" applyFill="1" applyBorder="1" applyAlignment="1" applyProtection="1">
      <alignment horizontal="center"/>
      <protection/>
    </xf>
    <xf numFmtId="0" fontId="43" fillId="0" borderId="40" xfId="49" applyFont="1" applyFill="1" applyBorder="1" applyAlignment="1" applyProtection="1">
      <alignment horizontal="center"/>
      <protection/>
    </xf>
    <xf numFmtId="177" fontId="43" fillId="0" borderId="40" xfId="49" applyNumberFormat="1" applyFont="1" applyFill="1" applyBorder="1" applyProtection="1">
      <alignment/>
      <protection/>
    </xf>
    <xf numFmtId="177" fontId="43" fillId="0" borderId="38" xfId="49" applyNumberFormat="1" applyFont="1" applyFill="1" applyBorder="1" applyProtection="1">
      <alignment/>
      <protection/>
    </xf>
    <xf numFmtId="0" fontId="43" fillId="0" borderId="41" xfId="49" applyFont="1" applyFill="1" applyBorder="1" applyAlignment="1" applyProtection="1">
      <alignment horizontal="right"/>
      <protection/>
    </xf>
    <xf numFmtId="4" fontId="43" fillId="0" borderId="0" xfId="49" applyNumberFormat="1" applyFont="1" applyFill="1" applyBorder="1" applyAlignment="1" applyProtection="1">
      <alignment horizontal="center"/>
      <protection/>
    </xf>
    <xf numFmtId="177" fontId="43" fillId="0" borderId="42" xfId="49" applyNumberFormat="1" applyFont="1" applyFill="1" applyBorder="1" applyAlignment="1" applyProtection="1">
      <alignment horizontal="right"/>
      <protection/>
    </xf>
    <xf numFmtId="177" fontId="45" fillId="0" borderId="43" xfId="49" applyNumberFormat="1" applyFont="1" applyFill="1" applyBorder="1" applyProtection="1">
      <alignment/>
      <protection/>
    </xf>
    <xf numFmtId="0" fontId="43" fillId="0" borderId="40" xfId="49" applyFont="1" applyFill="1" applyBorder="1" applyProtection="1">
      <alignment/>
      <protection/>
    </xf>
    <xf numFmtId="4" fontId="45" fillId="0" borderId="40" xfId="49" applyNumberFormat="1" applyFont="1" applyFill="1" applyBorder="1" applyAlignment="1" applyProtection="1">
      <alignment horizontal="center"/>
      <protection/>
    </xf>
    <xf numFmtId="0" fontId="43" fillId="0" borderId="0" xfId="49" applyFont="1" applyAlignment="1" applyProtection="1">
      <alignment vertical="center" wrapText="1"/>
      <protection/>
    </xf>
    <xf numFmtId="0" fontId="43" fillId="0" borderId="40" xfId="49" applyFont="1" applyBorder="1" applyProtection="1">
      <alignment/>
      <protection/>
    </xf>
    <xf numFmtId="0" fontId="43" fillId="0" borderId="41" xfId="49" applyFont="1" applyFill="1" applyBorder="1" applyProtection="1">
      <alignment/>
      <protection/>
    </xf>
    <xf numFmtId="0" fontId="43" fillId="0" borderId="44" xfId="49" applyFont="1" applyFill="1" applyBorder="1" applyProtection="1">
      <alignment/>
      <protection/>
    </xf>
    <xf numFmtId="0" fontId="43" fillId="0" borderId="45" xfId="49" applyFont="1" applyFill="1" applyBorder="1" applyProtection="1">
      <alignment/>
      <protection/>
    </xf>
    <xf numFmtId="0" fontId="43" fillId="0" borderId="42" xfId="49" applyFont="1" applyFill="1" applyBorder="1" applyAlignment="1" applyProtection="1">
      <alignment horizontal="center"/>
      <protection/>
    </xf>
    <xf numFmtId="0" fontId="49" fillId="0" borderId="0" xfId="49" applyFont="1" applyAlignment="1" applyProtection="1">
      <alignment vertical="center" wrapText="1"/>
      <protection/>
    </xf>
    <xf numFmtId="0" fontId="43" fillId="0" borderId="43" xfId="49" applyFont="1" applyBorder="1" applyAlignment="1" applyProtection="1">
      <alignment horizontal="center" vertical="center" wrapText="1"/>
      <protection/>
    </xf>
    <xf numFmtId="2" fontId="43" fillId="0" borderId="46" xfId="49" applyNumberFormat="1" applyFont="1" applyBorder="1" applyAlignment="1" applyProtection="1">
      <alignment horizontal="center" vertical="center" wrapText="1"/>
      <protection/>
    </xf>
    <xf numFmtId="0" fontId="43" fillId="0" borderId="46" xfId="49" applyFont="1" applyBorder="1" applyAlignment="1" applyProtection="1">
      <alignment horizontal="right" vertical="center" wrapText="1"/>
      <protection/>
    </xf>
    <xf numFmtId="0" fontId="43" fillId="0" borderId="46" xfId="49" applyFont="1" applyBorder="1" applyAlignment="1" applyProtection="1">
      <alignment horizontal="center" vertical="center" wrapText="1"/>
      <protection/>
    </xf>
    <xf numFmtId="0" fontId="45" fillId="0" borderId="46" xfId="49" applyFont="1" applyBorder="1" applyAlignment="1" applyProtection="1">
      <alignment horizontal="center" vertical="center" wrapText="1"/>
      <protection/>
    </xf>
    <xf numFmtId="0" fontId="47" fillId="0" borderId="0" xfId="49" applyFont="1" applyAlignment="1" applyProtection="1">
      <alignment vertical="center" wrapText="1"/>
      <protection/>
    </xf>
    <xf numFmtId="0" fontId="50" fillId="0" borderId="0" xfId="49" applyFont="1" applyAlignment="1" applyProtection="1">
      <alignment vertical="center"/>
      <protection/>
    </xf>
    <xf numFmtId="0" fontId="46" fillId="0" borderId="40" xfId="49" applyFont="1" applyBorder="1" applyAlignment="1" applyProtection="1">
      <alignment horizontal="center" vertical="center" wrapText="1"/>
      <protection/>
    </xf>
    <xf numFmtId="0" fontId="47" fillId="0" borderId="40" xfId="49" applyFont="1" applyBorder="1" applyAlignment="1" applyProtection="1">
      <alignment vertical="center"/>
      <protection/>
    </xf>
    <xf numFmtId="0" fontId="43" fillId="0" borderId="40" xfId="49" applyFont="1" applyBorder="1" applyAlignment="1" applyProtection="1">
      <alignment vertical="center"/>
      <protection/>
    </xf>
    <xf numFmtId="0" fontId="43" fillId="0" borderId="41" xfId="49" applyFont="1" applyBorder="1" applyProtection="1">
      <alignment/>
      <protection/>
    </xf>
    <xf numFmtId="0" fontId="43" fillId="0" borderId="0" xfId="49" applyFont="1" applyBorder="1" applyAlignment="1" applyProtection="1">
      <alignment horizontal="center"/>
      <protection/>
    </xf>
    <xf numFmtId="0" fontId="43" fillId="0" borderId="0" xfId="49" applyFont="1" applyAlignment="1" applyProtection="1">
      <alignment vertical="center"/>
      <protection/>
    </xf>
    <xf numFmtId="0" fontId="44" fillId="0" borderId="0" xfId="49" applyFont="1" applyBorder="1" applyAlignment="1" applyProtection="1">
      <alignment horizontal="right" vertical="center"/>
      <protection/>
    </xf>
    <xf numFmtId="0" fontId="44" fillId="0" borderId="0" xfId="49" applyFont="1" applyFill="1" applyBorder="1" applyAlignment="1" applyProtection="1">
      <alignment horizontal="left"/>
      <protection/>
    </xf>
    <xf numFmtId="0" fontId="44" fillId="0" borderId="0" xfId="49" applyFont="1" applyAlignment="1" applyProtection="1">
      <alignment horizontal="right" vertical="center"/>
      <protection/>
    </xf>
    <xf numFmtId="4" fontId="44" fillId="0" borderId="0" xfId="49" applyNumberFormat="1" applyFont="1" applyBorder="1" applyAlignment="1" applyProtection="1">
      <alignment horizontal="center"/>
      <protection/>
    </xf>
    <xf numFmtId="4" fontId="45" fillId="0" borderId="0" xfId="49" applyNumberFormat="1" applyFont="1" applyFill="1" applyBorder="1" applyAlignment="1" applyProtection="1">
      <alignment horizontal="right"/>
      <protection/>
    </xf>
    <xf numFmtId="0" fontId="48" fillId="0" borderId="0" xfId="49" applyFont="1" applyBorder="1" applyAlignment="1" applyProtection="1">
      <alignment horizontal="right"/>
      <protection/>
    </xf>
    <xf numFmtId="0" fontId="45" fillId="0" borderId="0" xfId="49" applyFont="1" applyAlignment="1" applyProtection="1">
      <alignment horizontal="left" vertical="center" indent="2"/>
      <protection/>
    </xf>
    <xf numFmtId="0" fontId="44" fillId="0" borderId="47" xfId="49" applyFont="1" applyFill="1" applyBorder="1" applyProtection="1">
      <alignment/>
      <protection/>
    </xf>
    <xf numFmtId="0" fontId="43" fillId="0" borderId="48" xfId="49" applyFont="1" applyFill="1" applyBorder="1" applyProtection="1">
      <alignment/>
      <protection/>
    </xf>
    <xf numFmtId="0" fontId="54" fillId="0" borderId="48" xfId="49" applyFont="1" applyFill="1" applyBorder="1" applyProtection="1">
      <alignment/>
      <protection/>
    </xf>
    <xf numFmtId="0" fontId="54" fillId="0" borderId="49" xfId="49" applyFont="1" applyFill="1" applyBorder="1" applyProtection="1">
      <alignment/>
      <protection/>
    </xf>
    <xf numFmtId="0" fontId="43" fillId="25" borderId="50" xfId="49" applyFont="1" applyFill="1" applyBorder="1" applyProtection="1">
      <alignment/>
      <protection/>
    </xf>
    <xf numFmtId="4" fontId="44" fillId="25" borderId="0" xfId="49" applyNumberFormat="1" applyFont="1" applyFill="1" applyBorder="1" applyAlignment="1" applyProtection="1">
      <alignment horizontal="right" vertical="center"/>
      <protection/>
    </xf>
    <xf numFmtId="4" fontId="44" fillId="25" borderId="0" xfId="49" applyNumberFormat="1" applyFont="1" applyFill="1" applyBorder="1" applyAlignment="1" applyProtection="1">
      <alignment horizontal="left" vertical="center"/>
      <protection/>
    </xf>
    <xf numFmtId="0" fontId="54" fillId="0" borderId="0" xfId="49" applyFont="1" applyBorder="1" applyProtection="1">
      <alignment/>
      <protection/>
    </xf>
    <xf numFmtId="0" fontId="55" fillId="26" borderId="0" xfId="49" applyFont="1" applyFill="1" applyBorder="1" applyAlignment="1" applyProtection="1">
      <alignment horizontal="right"/>
      <protection/>
    </xf>
    <xf numFmtId="2" fontId="55" fillId="26" borderId="51" xfId="49" applyNumberFormat="1" applyFont="1" applyFill="1" applyBorder="1" applyAlignment="1" applyProtection="1">
      <alignment horizontal="left"/>
      <protection/>
    </xf>
    <xf numFmtId="0" fontId="45" fillId="0" borderId="50" xfId="49" applyFont="1" applyFill="1" applyBorder="1" applyProtection="1">
      <alignment/>
      <protection/>
    </xf>
    <xf numFmtId="0" fontId="43" fillId="0" borderId="0" xfId="49" applyFont="1" applyFill="1" applyBorder="1" applyAlignment="1" applyProtection="1">
      <alignment horizontal="left"/>
      <protection/>
    </xf>
    <xf numFmtId="0" fontId="45" fillId="0" borderId="0" xfId="49" applyFont="1" applyBorder="1" applyAlignment="1" applyProtection="1">
      <alignment horizontal="right"/>
      <protection/>
    </xf>
    <xf numFmtId="2" fontId="45" fillId="0" borderId="51" xfId="49" applyNumberFormat="1" applyFont="1" applyFill="1" applyBorder="1" applyAlignment="1" applyProtection="1">
      <alignment horizontal="left"/>
      <protection/>
    </xf>
    <xf numFmtId="0" fontId="43" fillId="0" borderId="50" xfId="49" applyFont="1" applyBorder="1" applyAlignment="1" applyProtection="1">
      <alignment/>
      <protection/>
    </xf>
    <xf numFmtId="0" fontId="43" fillId="0" borderId="51" xfId="49" applyFont="1" applyFill="1" applyBorder="1" applyProtection="1">
      <alignment/>
      <protection/>
    </xf>
    <xf numFmtId="0" fontId="45" fillId="0" borderId="50" xfId="49" applyFont="1" applyBorder="1" applyAlignment="1" applyProtection="1">
      <alignment horizontal="left" vertical="center" indent="2"/>
      <protection/>
    </xf>
    <xf numFmtId="0" fontId="43" fillId="0" borderId="51" xfId="49" applyFont="1" applyBorder="1" applyProtection="1">
      <alignment/>
      <protection/>
    </xf>
    <xf numFmtId="0" fontId="43" fillId="0" borderId="51" xfId="49" applyFont="1" applyBorder="1" applyAlignment="1" applyProtection="1">
      <alignment horizontal="center"/>
      <protection/>
    </xf>
    <xf numFmtId="0" fontId="43" fillId="0" borderId="50" xfId="49" applyFont="1" applyBorder="1" applyProtection="1">
      <alignment/>
      <protection/>
    </xf>
    <xf numFmtId="0" fontId="45" fillId="0" borderId="0" xfId="49" applyFont="1" applyBorder="1" applyAlignment="1" applyProtection="1">
      <alignment horizontal="left"/>
      <protection/>
    </xf>
    <xf numFmtId="0" fontId="44" fillId="0" borderId="52" xfId="49" applyFont="1" applyBorder="1" applyAlignment="1" applyProtection="1">
      <alignment horizontal="left" vertical="center"/>
      <protection/>
    </xf>
    <xf numFmtId="0" fontId="57" fillId="0" borderId="0" xfId="49" applyFont="1" applyFill="1" applyBorder="1" applyProtection="1">
      <alignment/>
      <protection/>
    </xf>
    <xf numFmtId="0" fontId="58" fillId="0" borderId="0" xfId="49" applyFont="1" applyBorder="1" applyProtection="1">
      <alignment/>
      <protection/>
    </xf>
    <xf numFmtId="0" fontId="46" fillId="0" borderId="0" xfId="49" applyFont="1" applyBorder="1" applyAlignment="1" applyProtection="1">
      <alignment horizontal="center" vertical="center" wrapText="1"/>
      <protection/>
    </xf>
    <xf numFmtId="0" fontId="58" fillId="0" borderId="40" xfId="49" applyFont="1" applyBorder="1" applyAlignment="1" applyProtection="1">
      <alignment horizontal="center" vertical="center" wrapText="1"/>
      <protection/>
    </xf>
    <xf numFmtId="0" fontId="59" fillId="0" borderId="40" xfId="49" applyFont="1" applyBorder="1" applyAlignment="1" applyProtection="1">
      <alignment horizontal="center" vertical="center" wrapText="1"/>
      <protection/>
    </xf>
    <xf numFmtId="0" fontId="58" fillId="0" borderId="40" xfId="49" applyFont="1" applyBorder="1" applyAlignment="1" applyProtection="1">
      <alignment vertical="center" wrapText="1"/>
      <protection/>
    </xf>
    <xf numFmtId="0" fontId="43" fillId="0" borderId="40" xfId="49" applyFont="1" applyBorder="1" applyAlignment="1" applyProtection="1">
      <alignment horizontal="center"/>
      <protection/>
    </xf>
    <xf numFmtId="0" fontId="58" fillId="0" borderId="40" xfId="49" applyFont="1" applyBorder="1" applyAlignment="1" applyProtection="1">
      <alignment horizontal="center"/>
      <protection/>
    </xf>
    <xf numFmtId="0" fontId="48" fillId="0" borderId="40" xfId="49" applyFont="1" applyBorder="1" applyAlignment="1" applyProtection="1">
      <alignment horizontal="center" vertical="center" wrapText="1"/>
      <protection/>
    </xf>
    <xf numFmtId="0" fontId="43" fillId="0" borderId="0" xfId="49" applyFont="1" applyBorder="1">
      <alignment/>
      <protection/>
    </xf>
    <xf numFmtId="0" fontId="44" fillId="0" borderId="0" xfId="49" applyFont="1" applyFill="1" applyBorder="1">
      <alignment/>
      <protection/>
    </xf>
    <xf numFmtId="0" fontId="43" fillId="0" borderId="0" xfId="49" applyFont="1" applyFill="1" applyBorder="1">
      <alignment/>
      <protection/>
    </xf>
    <xf numFmtId="0" fontId="45" fillId="0" borderId="0" xfId="49" applyFont="1" applyFill="1" applyBorder="1">
      <alignment/>
      <protection/>
    </xf>
    <xf numFmtId="0" fontId="57" fillId="0" borderId="40" xfId="49" applyFont="1" applyBorder="1" applyAlignment="1">
      <alignment horizontal="center" vertical="center" wrapText="1"/>
      <protection/>
    </xf>
    <xf numFmtId="0" fontId="46" fillId="0" borderId="0" xfId="49" applyFont="1" applyBorder="1">
      <alignment/>
      <protection/>
    </xf>
    <xf numFmtId="0" fontId="43" fillId="0" borderId="40" xfId="49" applyFont="1" applyBorder="1" applyAlignment="1">
      <alignment horizontal="center" vertical="center" wrapText="1"/>
      <protection/>
    </xf>
    <xf numFmtId="0" fontId="47" fillId="0" borderId="40" xfId="49" applyFont="1" applyBorder="1" applyAlignment="1">
      <alignment horizontal="center" vertical="center" wrapText="1"/>
      <protection/>
    </xf>
    <xf numFmtId="0" fontId="43" fillId="0" borderId="40" xfId="49" applyFont="1" applyBorder="1" applyAlignment="1">
      <alignment vertical="center" wrapText="1"/>
      <protection/>
    </xf>
    <xf numFmtId="9" fontId="47" fillId="0" borderId="40" xfId="49" applyNumberFormat="1" applyFont="1" applyBorder="1" applyAlignment="1">
      <alignment horizontal="center" vertical="center" wrapText="1"/>
      <protection/>
    </xf>
    <xf numFmtId="0" fontId="47" fillId="0" borderId="0" xfId="49" applyFont="1" applyBorder="1">
      <alignment/>
      <protection/>
    </xf>
    <xf numFmtId="0" fontId="57" fillId="0" borderId="42" xfId="49" applyFont="1" applyBorder="1" applyAlignment="1">
      <alignment vertical="center"/>
      <protection/>
    </xf>
    <xf numFmtId="0" fontId="57" fillId="0" borderId="53" xfId="49" applyFont="1" applyBorder="1" applyAlignment="1">
      <alignment vertical="center"/>
      <protection/>
    </xf>
    <xf numFmtId="0" fontId="46" fillId="0" borderId="0" xfId="49" applyFont="1" applyBorder="1" applyAlignment="1">
      <alignment horizontal="left"/>
      <protection/>
    </xf>
    <xf numFmtId="0" fontId="60" fillId="0" borderId="0" xfId="49" applyFont="1" applyFill="1" applyBorder="1" applyAlignment="1">
      <alignment horizontal="left"/>
      <protection/>
    </xf>
    <xf numFmtId="0" fontId="61" fillId="0" borderId="0" xfId="49" applyFont="1" applyFill="1" applyBorder="1" applyAlignment="1">
      <alignment horizontal="right"/>
      <protection/>
    </xf>
    <xf numFmtId="0" fontId="60" fillId="0" borderId="0" xfId="49" applyFont="1" applyFill="1" applyBorder="1" applyAlignment="1">
      <alignment horizontal="right"/>
      <protection/>
    </xf>
    <xf numFmtId="0" fontId="49" fillId="0" borderId="0" xfId="49" applyFont="1" applyAlignment="1">
      <alignment vertical="center" wrapText="1"/>
      <protection/>
    </xf>
    <xf numFmtId="0" fontId="44" fillId="0" borderId="0" xfId="49" applyFont="1" applyAlignment="1">
      <alignment horizontal="right" vertical="center"/>
      <protection/>
    </xf>
    <xf numFmtId="0" fontId="44" fillId="0" borderId="0" xfId="49" applyFont="1" applyFill="1" applyBorder="1" applyAlignment="1">
      <alignment horizontal="left"/>
      <protection/>
    </xf>
    <xf numFmtId="0" fontId="43" fillId="25" borderId="47" xfId="49" applyFont="1" applyFill="1" applyBorder="1">
      <alignment/>
      <protection/>
    </xf>
    <xf numFmtId="4" fontId="44" fillId="25" borderId="48" xfId="49" applyNumberFormat="1" applyFont="1" applyFill="1" applyBorder="1" applyAlignment="1">
      <alignment horizontal="center" vertical="center"/>
      <protection/>
    </xf>
    <xf numFmtId="0" fontId="43" fillId="25" borderId="48" xfId="49" applyFont="1" applyFill="1" applyBorder="1">
      <alignment/>
      <protection/>
    </xf>
    <xf numFmtId="0" fontId="43" fillId="0" borderId="48" xfId="49" applyFont="1" applyBorder="1">
      <alignment/>
      <protection/>
    </xf>
    <xf numFmtId="0" fontId="43" fillId="0" borderId="48" xfId="49" applyFont="1" applyFill="1" applyBorder="1">
      <alignment/>
      <protection/>
    </xf>
    <xf numFmtId="0" fontId="43" fillId="0" borderId="49" xfId="49" applyFont="1" applyBorder="1">
      <alignment/>
      <protection/>
    </xf>
    <xf numFmtId="4" fontId="44" fillId="25" borderId="50" xfId="49" applyNumberFormat="1" applyFont="1" applyFill="1" applyBorder="1" applyAlignment="1">
      <alignment horizontal="right" vertical="center"/>
      <protection/>
    </xf>
    <xf numFmtId="4" fontId="62" fillId="25" borderId="0" xfId="49" applyNumberFormat="1" applyFont="1" applyFill="1" applyBorder="1" applyAlignment="1">
      <alignment horizontal="right" vertical="center"/>
      <protection/>
    </xf>
    <xf numFmtId="4" fontId="44" fillId="25" borderId="0" xfId="49" applyNumberFormat="1" applyFont="1" applyFill="1" applyBorder="1" applyAlignment="1">
      <alignment horizontal="center" vertical="center"/>
      <protection/>
    </xf>
    <xf numFmtId="0" fontId="55" fillId="0" borderId="0" xfId="49" applyFont="1" applyFill="1" applyBorder="1" applyAlignment="1">
      <alignment horizontal="right"/>
      <protection/>
    </xf>
    <xf numFmtId="2" fontId="55" fillId="0" borderId="51" xfId="49" applyNumberFormat="1" applyFont="1" applyFill="1" applyBorder="1" applyAlignment="1">
      <alignment horizontal="center"/>
      <protection/>
    </xf>
    <xf numFmtId="0" fontId="45" fillId="0" borderId="50" xfId="49" applyFont="1" applyFill="1" applyBorder="1">
      <alignment/>
      <protection/>
    </xf>
    <xf numFmtId="0" fontId="45" fillId="0" borderId="0" xfId="49" applyFont="1" applyBorder="1" applyAlignment="1">
      <alignment horizontal="right"/>
      <protection/>
    </xf>
    <xf numFmtId="2" fontId="45" fillId="0" borderId="51" xfId="49" applyNumberFormat="1" applyFont="1" applyFill="1" applyBorder="1" applyAlignment="1">
      <alignment horizontal="center"/>
      <protection/>
    </xf>
    <xf numFmtId="0" fontId="43" fillId="0" borderId="50" xfId="49" applyFont="1" applyBorder="1" applyAlignment="1">
      <alignment/>
      <protection/>
    </xf>
    <xf numFmtId="0" fontId="43" fillId="0" borderId="51" xfId="49" applyFont="1" applyBorder="1">
      <alignment/>
      <protection/>
    </xf>
    <xf numFmtId="0" fontId="45" fillId="0" borderId="50" xfId="49" applyFont="1" applyBorder="1" applyAlignment="1">
      <alignment horizontal="left" vertical="center" indent="2"/>
      <protection/>
    </xf>
    <xf numFmtId="0" fontId="43" fillId="0" borderId="0" xfId="49" applyFont="1" applyBorder="1" applyAlignment="1">
      <alignment horizontal="center"/>
      <protection/>
    </xf>
    <xf numFmtId="0" fontId="43" fillId="0" borderId="50" xfId="49" applyFont="1" applyBorder="1">
      <alignment/>
      <protection/>
    </xf>
    <xf numFmtId="0" fontId="45" fillId="0" borderId="0" xfId="49" applyFont="1" applyBorder="1" applyAlignment="1">
      <alignment horizontal="left"/>
      <protection/>
    </xf>
    <xf numFmtId="0" fontId="48" fillId="0" borderId="0" xfId="49" applyFont="1" applyBorder="1" applyAlignment="1">
      <alignment horizontal="right"/>
      <protection/>
    </xf>
    <xf numFmtId="0" fontId="45" fillId="0" borderId="0" xfId="49" applyFont="1" applyBorder="1" applyAlignment="1">
      <alignment vertical="center"/>
      <protection/>
    </xf>
    <xf numFmtId="0" fontId="45" fillId="0" borderId="0" xfId="49" applyFont="1" applyFill="1" applyBorder="1" applyAlignment="1">
      <alignment horizontal="right"/>
      <protection/>
    </xf>
    <xf numFmtId="0" fontId="63" fillId="26" borderId="0" xfId="49" applyFont="1" applyFill="1" applyBorder="1" applyAlignment="1" applyProtection="1">
      <alignment horizontal="center"/>
      <protection/>
    </xf>
    <xf numFmtId="0" fontId="57" fillId="0" borderId="0" xfId="49" applyFont="1" applyFill="1" applyBorder="1">
      <alignment/>
      <protection/>
    </xf>
    <xf numFmtId="0" fontId="46" fillId="0" borderId="40" xfId="49" applyFont="1" applyBorder="1" applyAlignment="1">
      <alignment horizontal="center" vertical="center" wrapText="1"/>
      <protection/>
    </xf>
    <xf numFmtId="0" fontId="44" fillId="0" borderId="0" xfId="49" applyFont="1" applyBorder="1" applyAlignment="1">
      <alignment horizontal="right" vertical="center"/>
      <protection/>
    </xf>
    <xf numFmtId="0" fontId="64" fillId="0" borderId="0" xfId="49" applyFont="1" applyBorder="1" applyAlignment="1">
      <alignment horizontal="left" vertical="center"/>
      <protection/>
    </xf>
    <xf numFmtId="0" fontId="54" fillId="0" borderId="0" xfId="49" applyFont="1" applyBorder="1">
      <alignment/>
      <protection/>
    </xf>
    <xf numFmtId="0" fontId="44" fillId="0" borderId="47" xfId="49" applyFont="1" applyFill="1" applyBorder="1">
      <alignment/>
      <protection/>
    </xf>
    <xf numFmtId="0" fontId="43" fillId="25" borderId="50" xfId="49" applyFont="1" applyFill="1" applyBorder="1">
      <alignment/>
      <protection/>
    </xf>
    <xf numFmtId="0" fontId="43" fillId="25" borderId="0" xfId="49" applyFont="1" applyFill="1" applyBorder="1">
      <alignment/>
      <protection/>
    </xf>
    <xf numFmtId="4" fontId="44" fillId="25" borderId="0" xfId="49" applyNumberFormat="1" applyFont="1" applyFill="1" applyBorder="1" applyAlignment="1">
      <alignment horizontal="right" vertical="center"/>
      <protection/>
    </xf>
    <xf numFmtId="4" fontId="44" fillId="25" borderId="0" xfId="49" applyNumberFormat="1" applyFont="1" applyFill="1" applyBorder="1" applyAlignment="1">
      <alignment horizontal="left" vertical="center"/>
      <protection/>
    </xf>
    <xf numFmtId="0" fontId="45" fillId="0" borderId="0" xfId="49" applyFont="1" applyBorder="1" applyAlignment="1">
      <alignment horizontal="right" vertical="center"/>
      <protection/>
    </xf>
    <xf numFmtId="0" fontId="45" fillId="0" borderId="0" xfId="49" applyFont="1" applyFill="1" applyBorder="1" applyAlignment="1">
      <alignment horizontal="right" vertical="center"/>
      <protection/>
    </xf>
    <xf numFmtId="4" fontId="63" fillId="0" borderId="0" xfId="49" applyNumberFormat="1" applyFont="1" applyFill="1" applyBorder="1" applyAlignment="1" applyProtection="1">
      <alignment horizontal="center" vertical="center"/>
      <protection/>
    </xf>
    <xf numFmtId="0" fontId="66" fillId="0" borderId="50" xfId="49" applyFont="1" applyBorder="1" applyAlignment="1">
      <alignment horizontal="left" vertical="center" indent="2"/>
      <protection/>
    </xf>
    <xf numFmtId="0" fontId="43" fillId="0" borderId="0" xfId="49" applyFont="1" applyBorder="1" applyProtection="1">
      <alignment/>
      <protection locked="0"/>
    </xf>
    <xf numFmtId="0" fontId="47" fillId="0" borderId="0" xfId="49" applyFont="1" applyBorder="1" applyAlignment="1">
      <alignment horizontal="center"/>
      <protection/>
    </xf>
    <xf numFmtId="0" fontId="57" fillId="0" borderId="42" xfId="49" applyFont="1" applyBorder="1" applyAlignment="1">
      <alignment horizontal="left"/>
      <protection/>
    </xf>
    <xf numFmtId="0" fontId="47" fillId="0" borderId="53" xfId="49" applyFont="1" applyBorder="1" applyAlignment="1">
      <alignment horizontal="right"/>
      <protection/>
    </xf>
    <xf numFmtId="0" fontId="57" fillId="0" borderId="0" xfId="49" applyFont="1" applyBorder="1" applyAlignment="1">
      <alignment horizontal="center"/>
      <protection/>
    </xf>
    <xf numFmtId="4" fontId="44" fillId="0" borderId="0" xfId="49" applyNumberFormat="1" applyFont="1" applyFill="1" applyBorder="1" applyAlignment="1">
      <alignment horizontal="center" vertical="center"/>
      <protection/>
    </xf>
    <xf numFmtId="0" fontId="48" fillId="0" borderId="0" xfId="49" applyFont="1" applyBorder="1" applyAlignment="1">
      <alignment horizontal="right" vertical="center"/>
      <protection/>
    </xf>
    <xf numFmtId="0" fontId="45" fillId="0" borderId="0" xfId="49" applyFont="1" applyFill="1" applyBorder="1" applyAlignment="1">
      <alignment vertical="center"/>
      <protection/>
    </xf>
    <xf numFmtId="0" fontId="43" fillId="0" borderId="0" xfId="49" applyFont="1" applyBorder="1" applyAlignment="1">
      <alignment vertical="center"/>
      <protection/>
    </xf>
    <xf numFmtId="0" fontId="45" fillId="0" borderId="0" xfId="49" applyFont="1" applyBorder="1" applyAlignment="1">
      <alignment horizontal="left" vertical="center"/>
      <protection/>
    </xf>
    <xf numFmtId="0" fontId="43" fillId="0" borderId="51" xfId="49" applyFont="1" applyBorder="1" applyAlignment="1">
      <alignment vertical="center"/>
      <protection/>
    </xf>
    <xf numFmtId="0" fontId="47" fillId="0" borderId="0" xfId="49" applyFont="1" applyBorder="1" applyAlignment="1">
      <alignment vertical="center"/>
      <protection/>
    </xf>
    <xf numFmtId="0" fontId="44" fillId="0" borderId="54" xfId="49" applyFont="1" applyBorder="1" applyAlignment="1" applyProtection="1">
      <alignment horizontal="left" vertical="center"/>
      <protection/>
    </xf>
    <xf numFmtId="0" fontId="43" fillId="0" borderId="52" xfId="49" applyFont="1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0" fillId="22" borderId="55" xfId="0" applyNumberFormat="1" applyFill="1" applyBorder="1" applyAlignment="1" applyProtection="1">
      <alignment/>
      <protection locked="0"/>
    </xf>
    <xf numFmtId="4" fontId="0" fillId="22" borderId="56" xfId="0" applyNumberFormat="1" applyFill="1" applyBorder="1" applyAlignment="1" applyProtection="1">
      <alignment/>
      <protection locked="0"/>
    </xf>
    <xf numFmtId="0" fontId="0" fillId="24" borderId="17" xfId="0" applyFont="1" applyFill="1" applyBorder="1" applyAlignment="1">
      <alignment horizontal="center" vertical="center" wrapText="1"/>
    </xf>
    <xf numFmtId="4" fontId="0" fillId="22" borderId="57" xfId="0" applyNumberForma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>
      <alignment horizontal="center" vertical="center" wrapText="1"/>
    </xf>
    <xf numFmtId="0" fontId="20" fillId="4" borderId="58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 wrapText="1"/>
    </xf>
    <xf numFmtId="4" fontId="52" fillId="27" borderId="0" xfId="49" applyNumberFormat="1" applyFont="1" applyFill="1" applyBorder="1" applyAlignment="1" applyProtection="1">
      <alignment horizontal="center"/>
      <protection/>
    </xf>
    <xf numFmtId="0" fontId="48" fillId="27" borderId="0" xfId="49" applyFont="1" applyFill="1" applyBorder="1" applyAlignment="1" applyProtection="1">
      <alignment horizontal="left" vertical="center"/>
      <protection/>
    </xf>
    <xf numFmtId="0" fontId="52" fillId="28" borderId="54" xfId="49" applyFont="1" applyFill="1" applyBorder="1" applyAlignment="1" applyProtection="1">
      <alignment horizontal="right" vertical="center"/>
      <protection locked="0"/>
    </xf>
    <xf numFmtId="0" fontId="48" fillId="28" borderId="0" xfId="49" applyFont="1" applyFill="1" applyBorder="1" applyAlignment="1" applyProtection="1">
      <alignment horizontal="center"/>
      <protection locked="0"/>
    </xf>
    <xf numFmtId="4" fontId="48" fillId="27" borderId="40" xfId="49" applyNumberFormat="1" applyFont="1" applyFill="1" applyBorder="1" applyAlignment="1" applyProtection="1">
      <alignment horizontal="center"/>
      <protection/>
    </xf>
    <xf numFmtId="1" fontId="48" fillId="28" borderId="40" xfId="49" applyNumberFormat="1" applyFont="1" applyFill="1" applyBorder="1" applyAlignment="1" applyProtection="1">
      <alignment horizontal="center" vertical="center"/>
      <protection locked="0"/>
    </xf>
    <xf numFmtId="2" fontId="48" fillId="27" borderId="0" xfId="49" applyNumberFormat="1" applyFont="1" applyFill="1" applyBorder="1" applyAlignment="1" applyProtection="1">
      <alignment horizontal="left" vertical="center"/>
      <protection/>
    </xf>
    <xf numFmtId="1" fontId="48" fillId="28" borderId="40" xfId="49" applyNumberFormat="1" applyFont="1" applyFill="1" applyBorder="1" applyAlignment="1" applyProtection="1">
      <alignment horizontal="center"/>
      <protection locked="0"/>
    </xf>
    <xf numFmtId="4" fontId="4" fillId="22" borderId="11" xfId="0" applyNumberFormat="1" applyFont="1" applyFill="1" applyBorder="1" applyAlignment="1" applyProtection="1">
      <alignment horizontal="center" vertical="center" wrapText="1"/>
      <protection locked="0"/>
    </xf>
    <xf numFmtId="4" fontId="69" fillId="0" borderId="0" xfId="0" applyNumberFormat="1" applyFont="1" applyAlignment="1">
      <alignment horizontal="center" vertical="center"/>
    </xf>
    <xf numFmtId="10" fontId="0" fillId="22" borderId="13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4" fontId="0" fillId="22" borderId="36" xfId="0" applyNumberFormat="1" applyFont="1" applyFill="1" applyBorder="1" applyAlignment="1" applyProtection="1">
      <alignment/>
      <protection locked="0"/>
    </xf>
    <xf numFmtId="4" fontId="0" fillId="22" borderId="37" xfId="0" applyNumberFormat="1" applyFont="1" applyFill="1" applyBorder="1" applyAlignment="1" applyProtection="1">
      <alignment/>
      <protection locked="0"/>
    </xf>
    <xf numFmtId="9" fontId="18" fillId="22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 wrapText="1"/>
    </xf>
    <xf numFmtId="9" fontId="0" fillId="22" borderId="59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Alignment="1">
      <alignment horizontal="center" vertical="center"/>
    </xf>
    <xf numFmtId="4" fontId="71" fillId="0" borderId="0" xfId="0" applyNumberFormat="1" applyFont="1" applyBorder="1" applyAlignment="1">
      <alignment/>
    </xf>
    <xf numFmtId="176" fontId="18" fillId="0" borderId="0" xfId="65" applyNumberFormat="1" applyFont="1" applyAlignment="1">
      <alignment horizontal="right" vertical="center"/>
    </xf>
    <xf numFmtId="14" fontId="18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18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" fillId="0" borderId="6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0" fillId="0" borderId="19" xfId="0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2" fontId="0" fillId="7" borderId="63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top"/>
    </xf>
    <xf numFmtId="0" fontId="0" fillId="0" borderId="30" xfId="0" applyBorder="1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2" fontId="0" fillId="7" borderId="20" xfId="0" applyNumberFormat="1" applyFill="1" applyBorder="1" applyAlignment="1">
      <alignment horizontal="center" vertical="center"/>
    </xf>
    <xf numFmtId="173" fontId="2" fillId="7" borderId="0" xfId="0" applyNumberFormat="1" applyFont="1" applyFill="1" applyBorder="1" applyAlignment="1">
      <alignment/>
    </xf>
    <xf numFmtId="173" fontId="2" fillId="7" borderId="13" xfId="0" applyNumberFormat="1" applyFont="1" applyFill="1" applyBorder="1" applyAlignment="1">
      <alignment/>
    </xf>
    <xf numFmtId="173" fontId="2" fillId="4" borderId="12" xfId="0" applyNumberFormat="1" applyFont="1" applyFill="1" applyBorder="1" applyAlignment="1">
      <alignment/>
    </xf>
    <xf numFmtId="173" fontId="2" fillId="3" borderId="12" xfId="0" applyNumberFormat="1" applyFont="1" applyFill="1" applyBorder="1" applyAlignment="1">
      <alignment/>
    </xf>
    <xf numFmtId="0" fontId="0" fillId="0" borderId="0" xfId="0" applyBorder="1" applyAlignment="1">
      <alignment vertical="top"/>
    </xf>
    <xf numFmtId="0" fontId="9" fillId="0" borderId="19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1" xfId="0" applyBorder="1" applyAlignment="1">
      <alignment horizontal="center"/>
    </xf>
    <xf numFmtId="0" fontId="9" fillId="0" borderId="19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0" fillId="0" borderId="3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right" vertical="center" wrapText="1"/>
    </xf>
    <xf numFmtId="0" fontId="0" fillId="0" borderId="61" xfId="0" applyBorder="1" applyAlignment="1">
      <alignment horizontal="right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70" xfId="0" applyFont="1" applyFill="1" applyBorder="1" applyAlignment="1">
      <alignment horizontal="center" vertical="center" textRotation="90" wrapText="1"/>
    </xf>
    <xf numFmtId="0" fontId="2" fillId="0" borderId="62" xfId="0" applyFont="1" applyFill="1" applyBorder="1" applyAlignment="1">
      <alignment horizontal="center" vertical="center" textRotation="90" wrapText="1"/>
    </xf>
    <xf numFmtId="0" fontId="0" fillId="0" borderId="62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textRotation="90" wrapText="1"/>
    </xf>
    <xf numFmtId="0" fontId="2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0" fillId="0" borderId="58" xfId="0" applyBorder="1" applyAlignment="1">
      <alignment/>
    </xf>
    <xf numFmtId="0" fontId="0" fillId="0" borderId="0" xfId="0" applyAlignment="1">
      <alignment horizontal="left"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11" fillId="24" borderId="12" xfId="0" applyFont="1" applyFill="1" applyBorder="1" applyAlignment="1">
      <alignment/>
    </xf>
    <xf numFmtId="0" fontId="11" fillId="24" borderId="27" xfId="0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2" fillId="0" borderId="13" xfId="0" applyNumberFormat="1" applyFont="1" applyFill="1" applyBorder="1" applyAlignment="1">
      <alignment horizontal="center" vertical="center" textRotation="90" wrapText="1"/>
    </xf>
    <xf numFmtId="4" fontId="0" fillId="0" borderId="13" xfId="0" applyNumberFormat="1" applyBorder="1" applyAlignment="1">
      <alignment wrapText="1"/>
    </xf>
    <xf numFmtId="0" fontId="11" fillId="24" borderId="73" xfId="0" applyFont="1" applyFill="1" applyBorder="1" applyAlignment="1">
      <alignment horizontal="center" vertical="center" wrapText="1"/>
    </xf>
    <xf numFmtId="0" fontId="21" fillId="24" borderId="74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0" fillId="22" borderId="10" xfId="0" applyFill="1" applyBorder="1" applyAlignment="1" applyProtection="1">
      <alignment/>
      <protection locked="0"/>
    </xf>
    <xf numFmtId="0" fontId="2" fillId="24" borderId="73" xfId="0" applyFont="1" applyFill="1" applyBorder="1" applyAlignment="1">
      <alignment horizontal="center" vertical="center" wrapText="1"/>
    </xf>
    <xf numFmtId="0" fontId="2" fillId="24" borderId="74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22" borderId="0" xfId="0" applyFont="1" applyFill="1" applyBorder="1" applyAlignment="1" applyProtection="1">
      <alignment horizontal="center" vertical="center"/>
      <protection locked="0"/>
    </xf>
    <xf numFmtId="0" fontId="0" fillId="22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24" borderId="74" xfId="0" applyFont="1" applyFill="1" applyBorder="1" applyAlignment="1">
      <alignment horizontal="center" vertical="center" wrapText="1"/>
    </xf>
    <xf numFmtId="0" fontId="11" fillId="24" borderId="31" xfId="0" applyFont="1" applyFill="1" applyBorder="1" applyAlignment="1">
      <alignment horizontal="center" vertical="center" wrapText="1"/>
    </xf>
    <xf numFmtId="0" fontId="0" fillId="22" borderId="12" xfId="0" applyFill="1" applyBorder="1" applyAlignment="1" applyProtection="1">
      <alignment/>
      <protection locked="0"/>
    </xf>
    <xf numFmtId="0" fontId="15" fillId="22" borderId="13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8" fillId="7" borderId="74" xfId="0" applyFont="1" applyFill="1" applyBorder="1" applyAlignment="1">
      <alignment horizontal="center" vertical="center" wrapText="1"/>
    </xf>
    <xf numFmtId="0" fontId="15" fillId="7" borderId="74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2" fontId="0" fillId="7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3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22" borderId="0" xfId="0" applyFont="1" applyFill="1" applyAlignment="1" applyProtection="1">
      <alignment horizontal="center" vertical="center"/>
      <protection locked="0"/>
    </xf>
    <xf numFmtId="173" fontId="0" fillId="7" borderId="13" xfId="0" applyNumberFormat="1" applyFont="1" applyFill="1" applyBorder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4" fontId="0" fillId="7" borderId="75" xfId="0" applyNumberFormat="1" applyFont="1" applyFill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9" fontId="0" fillId="22" borderId="7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77" xfId="0" applyFont="1" applyBorder="1" applyAlignment="1" applyProtection="1">
      <alignment vertical="center"/>
      <protection locked="0"/>
    </xf>
    <xf numFmtId="0" fontId="6" fillId="24" borderId="73" xfId="0" applyFont="1" applyFill="1" applyBorder="1" applyAlignment="1">
      <alignment horizontal="center" vertical="center" wrapText="1"/>
    </xf>
    <xf numFmtId="0" fontId="6" fillId="24" borderId="74" xfId="0" applyFont="1" applyFill="1" applyBorder="1" applyAlignment="1">
      <alignment horizontal="center" vertical="center" wrapText="1"/>
    </xf>
    <xf numFmtId="0" fontId="6" fillId="24" borderId="31" xfId="0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0" fillId="0" borderId="12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7" borderId="0" xfId="0" applyNumberFormat="1" applyFill="1" applyBorder="1" applyAlignment="1">
      <alignment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0" fontId="6" fillId="24" borderId="73" xfId="0" applyFont="1" applyFill="1" applyBorder="1" applyAlignment="1">
      <alignment horizontal="center" vertical="center" textRotation="90" wrapText="1"/>
    </xf>
    <xf numFmtId="0" fontId="6" fillId="24" borderId="74" xfId="0" applyFont="1" applyFill="1" applyBorder="1" applyAlignment="1">
      <alignment horizontal="center" vertical="center" textRotation="90" wrapText="1"/>
    </xf>
    <xf numFmtId="0" fontId="6" fillId="24" borderId="31" xfId="0" applyFont="1" applyFill="1" applyBorder="1" applyAlignment="1">
      <alignment horizontal="center" vertical="center" textRotation="90" wrapText="1"/>
    </xf>
    <xf numFmtId="4" fontId="0" fillId="7" borderId="10" xfId="0" applyNumberFormat="1" applyFont="1" applyFill="1" applyBorder="1" applyAlignment="1">
      <alignment/>
    </xf>
    <xf numFmtId="0" fontId="2" fillId="0" borderId="7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0" fillId="0" borderId="78" xfId="0" applyFont="1" applyBorder="1" applyAlignment="1">
      <alignment vertical="center"/>
    </xf>
    <xf numFmtId="0" fontId="20" fillId="0" borderId="79" xfId="0" applyFont="1" applyBorder="1" applyAlignment="1">
      <alignment vertical="center"/>
    </xf>
    <xf numFmtId="0" fontId="20" fillId="0" borderId="80" xfId="0" applyFont="1" applyBorder="1" applyAlignment="1">
      <alignment vertical="center"/>
    </xf>
    <xf numFmtId="4" fontId="0" fillId="7" borderId="0" xfId="0" applyNumberFormat="1" applyFont="1" applyFill="1" applyBorder="1" applyAlignment="1">
      <alignment/>
    </xf>
    <xf numFmtId="0" fontId="11" fillId="24" borderId="31" xfId="0" applyFont="1" applyFill="1" applyBorder="1" applyAlignment="1">
      <alignment/>
    </xf>
    <xf numFmtId="0" fontId="0" fillId="0" borderId="81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4" fontId="72" fillId="24" borderId="35" xfId="0" applyNumberFormat="1" applyFont="1" applyFill="1" applyBorder="1" applyAlignment="1">
      <alignment horizontal="center" vertical="center" wrapText="1"/>
    </xf>
    <xf numFmtId="4" fontId="72" fillId="24" borderId="13" xfId="0" applyNumberFormat="1" applyFont="1" applyFill="1" applyBorder="1" applyAlignment="1">
      <alignment horizontal="center" vertical="center" wrapText="1"/>
    </xf>
    <xf numFmtId="4" fontId="72" fillId="24" borderId="75" xfId="0" applyNumberFormat="1" applyFont="1" applyFill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4" fontId="10" fillId="29" borderId="83" xfId="0" applyNumberFormat="1" applyFont="1" applyFill="1" applyBorder="1" applyAlignment="1">
      <alignment horizontal="center" vertical="center" wrapText="1"/>
    </xf>
    <xf numFmtId="0" fontId="0" fillId="29" borderId="84" xfId="0" applyFill="1" applyBorder="1" applyAlignment="1">
      <alignment horizontal="center" vertical="center" wrapText="1"/>
    </xf>
    <xf numFmtId="0" fontId="0" fillId="29" borderId="85" xfId="0" applyFill="1" applyBorder="1" applyAlignment="1">
      <alignment horizontal="center" vertical="center" wrapText="1"/>
    </xf>
    <xf numFmtId="0" fontId="18" fillId="22" borderId="86" xfId="0" applyFont="1" applyFill="1" applyBorder="1" applyAlignment="1" applyProtection="1">
      <alignment horizontal="center" vertical="center" wrapText="1"/>
      <protection locked="0"/>
    </xf>
    <xf numFmtId="0" fontId="18" fillId="22" borderId="87" xfId="0" applyFont="1" applyFill="1" applyBorder="1" applyAlignment="1" applyProtection="1">
      <alignment horizontal="center" vertical="center" wrapText="1"/>
      <protection locked="0"/>
    </xf>
    <xf numFmtId="0" fontId="18" fillId="22" borderId="88" xfId="0" applyFont="1" applyFill="1" applyBorder="1" applyAlignment="1" applyProtection="1">
      <alignment horizontal="center" vertical="center" wrapText="1"/>
      <protection locked="0"/>
    </xf>
    <xf numFmtId="174" fontId="20" fillId="7" borderId="76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77" xfId="0" applyFont="1" applyBorder="1" applyAlignment="1">
      <alignment vertical="center"/>
    </xf>
    <xf numFmtId="4" fontId="20" fillId="7" borderId="76" xfId="0" applyNumberFormat="1" applyFont="1" applyFill="1" applyBorder="1" applyAlignment="1">
      <alignment vertical="center"/>
    </xf>
    <xf numFmtId="4" fontId="20" fillId="7" borderId="89" xfId="0" applyNumberFormat="1" applyFont="1" applyFill="1" applyBorder="1" applyAlignment="1">
      <alignment vertical="center"/>
    </xf>
    <xf numFmtId="0" fontId="20" fillId="0" borderId="90" xfId="0" applyFont="1" applyBorder="1" applyAlignment="1">
      <alignment vertical="center"/>
    </xf>
    <xf numFmtId="0" fontId="20" fillId="0" borderId="91" xfId="0" applyFont="1" applyBorder="1" applyAlignment="1">
      <alignment vertical="center"/>
    </xf>
    <xf numFmtId="9" fontId="20" fillId="22" borderId="76" xfId="0" applyNumberFormat="1" applyFont="1" applyFill="1" applyBorder="1" applyAlignment="1" applyProtection="1">
      <alignment vertical="center"/>
      <protection locked="0"/>
    </xf>
    <xf numFmtId="9" fontId="20" fillId="22" borderId="0" xfId="0" applyNumberFormat="1" applyFont="1" applyFill="1" applyBorder="1" applyAlignment="1" applyProtection="1">
      <alignment vertical="center"/>
      <protection locked="0"/>
    </xf>
    <xf numFmtId="9" fontId="20" fillId="22" borderId="77" xfId="0" applyNumberFormat="1" applyFont="1" applyFill="1" applyBorder="1" applyAlignment="1" applyProtection="1">
      <alignment vertical="center"/>
      <protection locked="0"/>
    </xf>
    <xf numFmtId="173" fontId="2" fillId="7" borderId="76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7" xfId="0" applyFont="1" applyBorder="1" applyAlignment="1">
      <alignment vertical="center"/>
    </xf>
    <xf numFmtId="2" fontId="2" fillId="7" borderId="7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77" xfId="0" applyBorder="1" applyAlignment="1">
      <alignment vertical="center"/>
    </xf>
    <xf numFmtId="173" fontId="0" fillId="24" borderId="76" xfId="0" applyNumberFormat="1" applyFill="1" applyBorder="1" applyAlignment="1">
      <alignment vertical="center"/>
    </xf>
    <xf numFmtId="173" fontId="0" fillId="24" borderId="0" xfId="0" applyNumberFormat="1" applyFill="1" applyBorder="1" applyAlignment="1">
      <alignment vertical="center"/>
    </xf>
    <xf numFmtId="173" fontId="0" fillId="24" borderId="77" xfId="0" applyNumberFormat="1" applyFill="1" applyBorder="1" applyAlignment="1">
      <alignment vertical="center"/>
    </xf>
    <xf numFmtId="173" fontId="2" fillId="7" borderId="76" xfId="0" applyNumberFormat="1" applyFont="1" applyFill="1" applyBorder="1" applyAlignment="1">
      <alignment vertical="center"/>
    </xf>
    <xf numFmtId="173" fontId="2" fillId="7" borderId="0" xfId="0" applyNumberFormat="1" applyFont="1" applyFill="1" applyBorder="1" applyAlignment="1">
      <alignment vertical="center"/>
    </xf>
    <xf numFmtId="173" fontId="2" fillId="0" borderId="77" xfId="0" applyNumberFormat="1" applyFont="1" applyBorder="1" applyAlignment="1">
      <alignment vertical="center"/>
    </xf>
    <xf numFmtId="2" fontId="2" fillId="7" borderId="76" xfId="0" applyNumberFormat="1" applyFont="1" applyFill="1" applyBorder="1" applyAlignment="1">
      <alignment vertical="center"/>
    </xf>
    <xf numFmtId="2" fontId="2" fillId="7" borderId="0" xfId="0" applyNumberFormat="1" applyFont="1" applyFill="1" applyBorder="1" applyAlignment="1">
      <alignment vertical="center"/>
    </xf>
    <xf numFmtId="4" fontId="20" fillId="7" borderId="76" xfId="0" applyNumberFormat="1" applyFont="1" applyFill="1" applyBorder="1" applyAlignment="1">
      <alignment vertical="center"/>
    </xf>
    <xf numFmtId="9" fontId="20" fillId="22" borderId="7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77" xfId="0" applyFont="1" applyBorder="1" applyAlignment="1" applyProtection="1">
      <alignment vertical="center"/>
      <protection locked="0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24" borderId="92" xfId="0" applyFont="1" applyFill="1" applyBorder="1" applyAlignment="1">
      <alignment horizontal="right"/>
    </xf>
    <xf numFmtId="0" fontId="0" fillId="24" borderId="93" xfId="0" applyFill="1" applyBorder="1" applyAlignment="1">
      <alignment horizontal="right"/>
    </xf>
    <xf numFmtId="0" fontId="0" fillId="24" borderId="94" xfId="0" applyFill="1" applyBorder="1" applyAlignment="1">
      <alignment horizontal="right"/>
    </xf>
    <xf numFmtId="0" fontId="0" fillId="0" borderId="35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70" fillId="0" borderId="76" xfId="0" applyFont="1" applyBorder="1" applyAlignment="1">
      <alignment horizontal="right" vertical="center"/>
    </xf>
    <xf numFmtId="0" fontId="20" fillId="0" borderId="76" xfId="0" applyFont="1" applyBorder="1" applyAlignment="1">
      <alignment horizontal="right" vertical="center"/>
    </xf>
    <xf numFmtId="0" fontId="53" fillId="0" borderId="0" xfId="49" applyFont="1" applyBorder="1" applyAlignment="1">
      <alignment wrapText="1"/>
      <protection/>
    </xf>
    <xf numFmtId="0" fontId="43" fillId="0" borderId="50" xfId="49" applyFont="1" applyBorder="1" applyAlignment="1" applyProtection="1">
      <alignment horizontal="left" vertical="top" wrapText="1" indent="3"/>
      <protection/>
    </xf>
    <xf numFmtId="0" fontId="45" fillId="0" borderId="96" xfId="49" applyFont="1" applyBorder="1" applyAlignment="1" applyProtection="1">
      <alignment horizontal="left" vertical="center" wrapText="1" indent="2"/>
      <protection/>
    </xf>
    <xf numFmtId="0" fontId="43" fillId="0" borderId="40" xfId="49" applyFont="1" applyBorder="1" applyAlignment="1" applyProtection="1">
      <alignment horizontal="center" vertical="center" wrapText="1"/>
      <protection/>
    </xf>
    <xf numFmtId="0" fontId="41" fillId="0" borderId="97" xfId="49" applyFont="1" applyFill="1" applyBorder="1" applyAlignment="1" applyProtection="1">
      <alignment horizontal="center" vertical="center" wrapText="1"/>
      <protection/>
    </xf>
    <xf numFmtId="0" fontId="43" fillId="0" borderId="40" xfId="49" applyFont="1" applyFill="1" applyBorder="1" applyAlignment="1" applyProtection="1">
      <alignment horizontal="center" vertical="top" wrapText="1"/>
      <protection/>
    </xf>
    <xf numFmtId="0" fontId="43" fillId="0" borderId="40" xfId="49" applyFont="1" applyFill="1" applyBorder="1" applyAlignment="1" applyProtection="1">
      <alignment horizontal="center" vertical="top"/>
      <protection/>
    </xf>
    <xf numFmtId="0" fontId="50" fillId="0" borderId="50" xfId="49" applyFont="1" applyBorder="1" applyAlignment="1">
      <alignment horizontal="left" vertical="top" wrapText="1" indent="3"/>
      <protection/>
    </xf>
    <xf numFmtId="0" fontId="45" fillId="0" borderId="96" xfId="49" applyFont="1" applyBorder="1" applyAlignment="1">
      <alignment horizontal="left" vertical="center" wrapText="1" indent="2"/>
      <protection/>
    </xf>
    <xf numFmtId="0" fontId="47" fillId="0" borderId="40" xfId="49" applyFont="1" applyBorder="1" applyAlignment="1">
      <alignment horizontal="center" vertical="center" wrapText="1"/>
      <protection/>
    </xf>
    <xf numFmtId="0" fontId="57" fillId="0" borderId="98" xfId="49" applyFont="1" applyBorder="1" applyAlignment="1">
      <alignment horizontal="right" vertical="center"/>
      <protection/>
    </xf>
    <xf numFmtId="0" fontId="57" fillId="0" borderId="40" xfId="49" applyFont="1" applyBorder="1" applyAlignment="1">
      <alignment horizontal="right" vertical="center" wrapText="1"/>
      <protection/>
    </xf>
    <xf numFmtId="1" fontId="48" fillId="28" borderId="40" xfId="49" applyNumberFormat="1" applyFont="1" applyFill="1" applyBorder="1" applyAlignment="1" applyProtection="1">
      <alignment horizontal="center" vertical="center"/>
      <protection locked="0"/>
    </xf>
    <xf numFmtId="0" fontId="41" fillId="0" borderId="97" xfId="49" applyFont="1" applyFill="1" applyBorder="1" applyAlignment="1">
      <alignment horizontal="center" vertical="center" wrapText="1"/>
      <protection/>
    </xf>
    <xf numFmtId="0" fontId="57" fillId="0" borderId="40" xfId="49" applyFont="1" applyBorder="1" applyAlignment="1">
      <alignment horizontal="center" vertical="center" wrapText="1"/>
      <protection/>
    </xf>
    <xf numFmtId="9" fontId="47" fillId="0" borderId="40" xfId="49" applyNumberFormat="1" applyFont="1" applyBorder="1" applyAlignment="1">
      <alignment horizontal="center" vertical="center" wrapText="1"/>
      <protection/>
    </xf>
    <xf numFmtId="0" fontId="43" fillId="0" borderId="0" xfId="49" applyFont="1" applyBorder="1" applyAlignment="1">
      <alignment horizontal="left" wrapText="1" indent="2"/>
      <protection/>
    </xf>
    <xf numFmtId="0" fontId="67" fillId="0" borderId="0" xfId="49" applyFont="1" applyBorder="1" applyAlignment="1">
      <alignment wrapText="1"/>
      <protection/>
    </xf>
    <xf numFmtId="0" fontId="47" fillId="0" borderId="0" xfId="49" applyFont="1" applyBorder="1" applyAlignment="1">
      <alignment horizontal="center" vertical="center" wrapText="1"/>
      <protection/>
    </xf>
    <xf numFmtId="0" fontId="57" fillId="0" borderId="98" xfId="49" applyFont="1" applyBorder="1" applyAlignment="1">
      <alignment horizontal="right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ida" xfId="44"/>
    <cellStyle name="Input" xfId="45"/>
    <cellStyle name="Comma" xfId="46"/>
    <cellStyle name="Comma [0]" xfId="47"/>
    <cellStyle name="Neutrale" xfId="48"/>
    <cellStyle name="Normale_Fogli di calcolo QCC_1.0 -REGIONE_sbloccata_senza_rif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51</xdr:row>
      <xdr:rowOff>161925</xdr:rowOff>
    </xdr:from>
    <xdr:to>
      <xdr:col>3</xdr:col>
      <xdr:colOff>438150</xdr:colOff>
      <xdr:row>51</xdr:row>
      <xdr:rowOff>161925</xdr:rowOff>
    </xdr:to>
    <xdr:sp>
      <xdr:nvSpPr>
        <xdr:cNvPr id="1" name="Connettore 2 4"/>
        <xdr:cNvSpPr>
          <a:spLocks/>
        </xdr:cNvSpPr>
      </xdr:nvSpPr>
      <xdr:spPr>
        <a:xfrm>
          <a:off x="3619500" y="11096625"/>
          <a:ext cx="3524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46</xdr:row>
      <xdr:rowOff>200025</xdr:rowOff>
    </xdr:from>
    <xdr:to>
      <xdr:col>3</xdr:col>
      <xdr:colOff>438150</xdr:colOff>
      <xdr:row>46</xdr:row>
      <xdr:rowOff>200025</xdr:rowOff>
    </xdr:to>
    <xdr:sp>
      <xdr:nvSpPr>
        <xdr:cNvPr id="2" name="Connettore 2 4"/>
        <xdr:cNvSpPr>
          <a:spLocks/>
        </xdr:cNvSpPr>
      </xdr:nvSpPr>
      <xdr:spPr>
        <a:xfrm>
          <a:off x="3619500" y="9829800"/>
          <a:ext cx="3524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27</xdr:row>
      <xdr:rowOff>161925</xdr:rowOff>
    </xdr:from>
    <xdr:to>
      <xdr:col>4</xdr:col>
      <xdr:colOff>76200</xdr:colOff>
      <xdr:row>27</xdr:row>
      <xdr:rowOff>161925</xdr:rowOff>
    </xdr:to>
    <xdr:sp>
      <xdr:nvSpPr>
        <xdr:cNvPr id="1" name="Connettore 2 1"/>
        <xdr:cNvSpPr>
          <a:spLocks/>
        </xdr:cNvSpPr>
      </xdr:nvSpPr>
      <xdr:spPr>
        <a:xfrm>
          <a:off x="3209925" y="6943725"/>
          <a:ext cx="361950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22</xdr:row>
      <xdr:rowOff>142875</xdr:rowOff>
    </xdr:from>
    <xdr:to>
      <xdr:col>6</xdr:col>
      <xdr:colOff>209550</xdr:colOff>
      <xdr:row>22</xdr:row>
      <xdr:rowOff>142875</xdr:rowOff>
    </xdr:to>
    <xdr:sp>
      <xdr:nvSpPr>
        <xdr:cNvPr id="2" name="Connettore 2 1"/>
        <xdr:cNvSpPr>
          <a:spLocks/>
        </xdr:cNvSpPr>
      </xdr:nvSpPr>
      <xdr:spPr>
        <a:xfrm>
          <a:off x="4314825" y="5648325"/>
          <a:ext cx="361950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t.agenziaentrate.gov.it/geopoi_omi/index.php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AZ100"/>
  <sheetViews>
    <sheetView zoomScale="130" zoomScaleNormal="130" zoomScalePageLayoutView="0" workbookViewId="0" topLeftCell="A1">
      <selection activeCell="I4" sqref="I4"/>
    </sheetView>
  </sheetViews>
  <sheetFormatPr defaultColWidth="9.140625" defaultRowHeight="12.75"/>
  <cols>
    <col min="1" max="1" width="11.00390625" style="0" customWidth="1"/>
    <col min="2" max="2" width="8.140625" style="21" customWidth="1"/>
    <col min="3" max="3" width="5.7109375" style="0" customWidth="1"/>
    <col min="4" max="4" width="4.8515625" style="21" customWidth="1"/>
    <col min="5" max="5" width="22.57421875" style="0" customWidth="1"/>
    <col min="6" max="6" width="12.7109375" style="0" customWidth="1"/>
    <col min="7" max="7" width="5.7109375" style="0" customWidth="1"/>
    <col min="8" max="8" width="4.57421875" style="21" customWidth="1"/>
    <col min="9" max="10" width="9.00390625" style="0" customWidth="1"/>
    <col min="11" max="11" width="9.8515625" style="0" customWidth="1"/>
    <col min="12" max="12" width="12.00390625" style="0" customWidth="1"/>
    <col min="13" max="14" width="9.8515625" style="0" customWidth="1"/>
    <col min="15" max="15" width="17.140625" style="0" hidden="1" customWidth="1"/>
    <col min="16" max="16" width="6.00390625" style="0" hidden="1" customWidth="1"/>
    <col min="17" max="17" width="7.00390625" style="0" hidden="1" customWidth="1"/>
    <col min="18" max="18" width="4.7109375" style="0" hidden="1" customWidth="1"/>
    <col min="19" max="19" width="7.57421875" style="0" hidden="1" customWidth="1"/>
    <col min="20" max="20" width="4.7109375" style="0" hidden="1" customWidth="1"/>
    <col min="21" max="21" width="7.7109375" style="0" hidden="1" customWidth="1"/>
    <col min="22" max="23" width="13.421875" style="0" hidden="1" customWidth="1"/>
    <col min="24" max="25" width="11.00390625" style="0" hidden="1" customWidth="1"/>
    <col min="26" max="29" width="8.57421875" style="0" hidden="1" customWidth="1"/>
    <col min="30" max="30" width="9.140625" style="0" hidden="1" customWidth="1"/>
    <col min="31" max="31" width="12.57421875" style="0" hidden="1" customWidth="1"/>
    <col min="32" max="34" width="13.00390625" style="0" hidden="1" customWidth="1"/>
    <col min="35" max="35" width="10.57421875" style="0" hidden="1" customWidth="1"/>
    <col min="36" max="36" width="9.421875" style="0" hidden="1" customWidth="1"/>
    <col min="37" max="38" width="8.421875" style="0" hidden="1" customWidth="1"/>
    <col min="39" max="39" width="13.421875" style="0" hidden="1" customWidth="1"/>
    <col min="40" max="40" width="13.00390625" style="0" hidden="1" customWidth="1"/>
    <col min="41" max="41" width="11.7109375" style="0" hidden="1" customWidth="1"/>
    <col min="42" max="42" width="10.8515625" style="0" hidden="1" customWidth="1"/>
    <col min="43" max="44" width="11.8515625" style="0" hidden="1" customWidth="1"/>
    <col min="45" max="46" width="13.421875" style="0" hidden="1" customWidth="1"/>
    <col min="47" max="48" width="11.421875" style="0" hidden="1" customWidth="1"/>
    <col min="49" max="50" width="9.140625" style="0" hidden="1" customWidth="1"/>
    <col min="51" max="51" width="10.7109375" style="0" hidden="1" customWidth="1"/>
    <col min="52" max="52" width="10.57421875" style="0" hidden="1" customWidth="1"/>
  </cols>
  <sheetData>
    <row r="1" spans="1:14" s="2" customFormat="1" ht="23.25" customHeight="1" thickBot="1">
      <c r="A1" s="367" t="s">
        <v>88</v>
      </c>
      <c r="B1" s="367"/>
      <c r="C1" s="367"/>
      <c r="D1" s="367"/>
      <c r="E1" s="367"/>
      <c r="F1" s="368"/>
      <c r="G1" s="368"/>
      <c r="H1" s="368"/>
      <c r="I1" s="368"/>
      <c r="J1" s="368"/>
      <c r="K1" s="368"/>
      <c r="L1" s="368"/>
      <c r="M1" s="65"/>
      <c r="N1" s="65"/>
    </row>
    <row r="2" spans="1:52" ht="15.75" customHeight="1" thickBot="1">
      <c r="A2" s="369" t="s">
        <v>106</v>
      </c>
      <c r="B2" s="371" t="s">
        <v>107</v>
      </c>
      <c r="C2" s="371" t="s">
        <v>108</v>
      </c>
      <c r="D2" s="371" t="s">
        <v>27</v>
      </c>
      <c r="E2" s="321" t="s">
        <v>54</v>
      </c>
      <c r="F2" s="321" t="s">
        <v>92</v>
      </c>
      <c r="G2" s="376" t="s">
        <v>86</v>
      </c>
      <c r="H2" s="377"/>
      <c r="I2" s="377"/>
      <c r="J2" s="377"/>
      <c r="K2" s="377"/>
      <c r="L2" s="377"/>
      <c r="M2" s="377"/>
      <c r="N2" s="378"/>
      <c r="O2" s="333"/>
      <c r="P2" s="341" t="s">
        <v>103</v>
      </c>
      <c r="Q2" s="343"/>
      <c r="R2" s="343"/>
      <c r="S2" s="343"/>
      <c r="T2" s="343"/>
      <c r="U2" s="345"/>
      <c r="V2" s="341" t="s">
        <v>104</v>
      </c>
      <c r="W2" s="342"/>
      <c r="X2" s="343"/>
      <c r="Y2" s="344"/>
      <c r="Z2" s="344"/>
      <c r="AA2" s="344"/>
      <c r="AB2" s="344"/>
      <c r="AC2" s="345"/>
      <c r="AE2" s="325" t="s">
        <v>102</v>
      </c>
      <c r="AF2" s="326"/>
      <c r="AG2" s="326"/>
      <c r="AH2" s="326"/>
      <c r="AI2" s="326"/>
      <c r="AJ2" s="326"/>
      <c r="AK2" s="326"/>
      <c r="AL2" s="327"/>
      <c r="AM2" s="346" t="s">
        <v>17</v>
      </c>
      <c r="AN2" s="347"/>
      <c r="AO2" s="324"/>
      <c r="AP2" s="72"/>
      <c r="AQ2" s="338" t="s">
        <v>306</v>
      </c>
      <c r="AR2" s="338"/>
      <c r="AS2" s="338"/>
      <c r="AT2" s="338"/>
      <c r="AU2" s="338"/>
      <c r="AV2" s="338"/>
      <c r="AW2" s="338"/>
      <c r="AX2" s="338"/>
      <c r="AY2" s="338"/>
      <c r="AZ2" s="338"/>
    </row>
    <row r="3" spans="1:52" ht="72.75" customHeight="1" thickBot="1">
      <c r="A3" s="370"/>
      <c r="B3" s="372"/>
      <c r="C3" s="373"/>
      <c r="D3" s="375"/>
      <c r="E3" s="374"/>
      <c r="F3" s="322"/>
      <c r="G3" s="43" t="s">
        <v>52</v>
      </c>
      <c r="H3" s="44" t="s">
        <v>53</v>
      </c>
      <c r="I3" s="45" t="s">
        <v>33</v>
      </c>
      <c r="J3" s="45" t="s">
        <v>34</v>
      </c>
      <c r="K3" s="46" t="s">
        <v>35</v>
      </c>
      <c r="L3" s="68" t="s">
        <v>39</v>
      </c>
      <c r="M3" s="278" t="s">
        <v>109</v>
      </c>
      <c r="N3" s="281" t="s">
        <v>302</v>
      </c>
      <c r="O3" s="333"/>
      <c r="P3" s="69" t="s">
        <v>96</v>
      </c>
      <c r="Q3" s="70" t="s">
        <v>97</v>
      </c>
      <c r="R3" s="70" t="s">
        <v>98</v>
      </c>
      <c r="S3" s="70" t="s">
        <v>99</v>
      </c>
      <c r="T3" s="71" t="s">
        <v>95</v>
      </c>
      <c r="U3" s="66" t="s">
        <v>101</v>
      </c>
      <c r="V3" s="66" t="s">
        <v>317</v>
      </c>
      <c r="W3" s="66" t="s">
        <v>318</v>
      </c>
      <c r="X3" s="66" t="s">
        <v>320</v>
      </c>
      <c r="Y3" s="66" t="s">
        <v>319</v>
      </c>
      <c r="Z3" s="66" t="s">
        <v>321</v>
      </c>
      <c r="AA3" s="66" t="s">
        <v>322</v>
      </c>
      <c r="AB3" s="66" t="s">
        <v>315</v>
      </c>
      <c r="AC3" s="66" t="s">
        <v>316</v>
      </c>
      <c r="AE3" s="73" t="s">
        <v>298</v>
      </c>
      <c r="AF3" s="73" t="s">
        <v>299</v>
      </c>
      <c r="AG3" s="73" t="s">
        <v>303</v>
      </c>
      <c r="AH3" s="73" t="s">
        <v>304</v>
      </c>
      <c r="AI3" s="73" t="s">
        <v>301</v>
      </c>
      <c r="AJ3" s="73" t="s">
        <v>300</v>
      </c>
      <c r="AK3" s="73" t="s">
        <v>296</v>
      </c>
      <c r="AL3" s="73" t="s">
        <v>297</v>
      </c>
      <c r="AM3" s="83" t="s">
        <v>18</v>
      </c>
      <c r="AN3" s="83" t="s">
        <v>111</v>
      </c>
      <c r="AO3" s="83" t="s">
        <v>295</v>
      </c>
      <c r="AP3" s="72"/>
      <c r="AQ3" s="287" t="s">
        <v>307</v>
      </c>
      <c r="AR3" s="287" t="s">
        <v>308</v>
      </c>
      <c r="AS3" s="287" t="s">
        <v>309</v>
      </c>
      <c r="AT3" s="287" t="s">
        <v>310</v>
      </c>
      <c r="AU3" s="287" t="s">
        <v>311</v>
      </c>
      <c r="AV3" s="287" t="s">
        <v>312</v>
      </c>
      <c r="AW3" s="287" t="s">
        <v>313</v>
      </c>
      <c r="AX3" s="287" t="s">
        <v>314</v>
      </c>
      <c r="AY3" s="287" t="s">
        <v>315</v>
      </c>
      <c r="AZ3" s="287" t="s">
        <v>316</v>
      </c>
    </row>
    <row r="4" spans="1:52" ht="15" customHeight="1">
      <c r="A4" s="48"/>
      <c r="B4" s="80"/>
      <c r="C4" s="49"/>
      <c r="D4" s="49"/>
      <c r="E4" s="48"/>
      <c r="F4" s="48"/>
      <c r="G4" s="50"/>
      <c r="H4" s="56" t="str">
        <f>VLOOKUP(G:G,A62:B87,2,FALSE)</f>
        <v> </v>
      </c>
      <c r="I4" s="76"/>
      <c r="J4" s="76"/>
      <c r="K4" s="76"/>
      <c r="L4" s="31">
        <f aca="true" t="shared" si="0" ref="L4:L39">SUM(I4,0.6*J4)</f>
        <v>0</v>
      </c>
      <c r="M4" s="76"/>
      <c r="N4" s="276"/>
      <c r="P4" s="30">
        <f>IF(AND($F4="NC",OR($G4="U1/1",$G4="U1/2"),$I4&lt;=95),$I4,0)</f>
        <v>0</v>
      </c>
      <c r="Q4" s="30">
        <f>IF(AND($F4="NC",OR($G4="U1/1",$G4="U1/2"),95&lt;$I4,$I4&lt;=110),$I4,0)</f>
        <v>0</v>
      </c>
      <c r="R4" s="30">
        <f>IF(AND($F4="NC",OR($G4="U1/1",$G4="U1/2"),110&lt;$I4,$I4&lt;=130),$I4,0)</f>
        <v>0</v>
      </c>
      <c r="S4" s="30">
        <f>IF(AND($F4="NC",OR($G4="U1/1",$G4="U1/2"),130&lt;$I4,$I4&lt;=160),$I4,0)</f>
        <v>0</v>
      </c>
      <c r="T4" s="30">
        <f>IF(AND($F4="NC",OR($G4="U1/1",$G4="U1/2"),160&lt;$I4),$I4,0)</f>
        <v>0</v>
      </c>
      <c r="U4" s="30">
        <f>IF(AND($F4="NC",OR($G4="U1/1",$G4="U1/2")),($J4+$K4),0)</f>
        <v>0</v>
      </c>
      <c r="V4" s="30">
        <f>IF(AND($F4="NC",OR($G4="U2/1",$G4="U2/2",$G4="U2/3",$G4="U3/2",$G4="U3/3",$G4="U3/5",$G4="U3/5a",$G4="U3/6",$G4="U3/7")),$I4,0)</f>
        <v>0</v>
      </c>
      <c r="W4" s="30">
        <f>IF(AND($F4="NC",OR($G4="U2/1",$G4="U2/2",$G4="U2/3",$G4="U3/2",$G4="U3/3",$G4="U3/5",$G4="U3/5a",$G4="U3/6",$G4="U3/7")),$J4,0)</f>
        <v>0</v>
      </c>
      <c r="X4" s="30">
        <f>IF(AND($F4="NC",OR($G4="U2/4",$G4="U2/6",$G4="U3/1")),$I4,0)</f>
        <v>0</v>
      </c>
      <c r="Y4" s="30">
        <f>IF(AND($F4="NC",OR($G4="U2/4",$G4="U2/6",$G4="U3/1")),$J4,0)</f>
        <v>0</v>
      </c>
      <c r="Z4" s="30">
        <f>IF(AND($F4="NC",OR($G4="U6/1",$G4="U6/2")),$I4,0)</f>
        <v>0</v>
      </c>
      <c r="AA4" s="30">
        <f>IF(AND($F4="NC",OR($G4="U6/1",$G4="U6/2")),$J4,0)</f>
        <v>0</v>
      </c>
      <c r="AB4" s="30">
        <f>IF(AND($F4="NC",$G4="U5/2"),$I4,0)</f>
        <v>0</v>
      </c>
      <c r="AC4" s="30">
        <f>IF(AND($F4="NC",$G4="U5/2"),$J4,0)</f>
        <v>0</v>
      </c>
      <c r="AD4" s="4"/>
      <c r="AE4">
        <f>IF(OR($G4="U1/1",$G4="U1/2",$G4="U2/4",$G4="U2/6",$G4="U3/1",$G4="U6/1",$G4="U6/2"),$I4,0)</f>
        <v>0</v>
      </c>
      <c r="AF4">
        <f>IF(OR($G4="U2/1",$G4="U2/2",$G4="U2/3",$G4="U3/2",$G4="U3/3",$G4="U3/5",$G4="U3/5a",$G4="U3/6",$G4="U3/7",$G4="U2/5"),$I4,0)</f>
        <v>0</v>
      </c>
      <c r="AG4">
        <f>IF(OR($G4="U2/1",$G4="U2/2",$G4="U2/3",$G4="U3/2",$G4="U3/3",$G4="U3/5",$G4="U3/5a",$G4="U3/6",$G4="U3/7"),IF(AND($N4&gt;0,$N4&lt;=250),0,$I4),0)</f>
        <v>0</v>
      </c>
      <c r="AH4">
        <f>IF(OR($G4="U2/1",$G4="U2/2",$G4="U2/3",$G4="U3/2",$G4="U3/3",$G4="U3/5",$G4="U3/5a",$G4="U3/6",$G4="U3/7"),IF(AND($N4&gt;0,$N4&lt;=250),$I4,0),0)</f>
        <v>0</v>
      </c>
      <c r="AI4">
        <f aca="true" t="shared" si="1" ref="AI4:AI43">IF($G4="U2/5",$I4,0)</f>
        <v>0</v>
      </c>
      <c r="AJ4">
        <f>IF(OR($G4="U3/4",$G4="U4/1",$G4="U4/2",$G4="U4/3",$G4="U5/1",$G4="U5/2",$G4="U5/3",$G4="U5/4"),$M4,0)</f>
        <v>0</v>
      </c>
      <c r="AK4">
        <f>IF(OR($G4="U5/1",$G4="U5/2",$G4="U5/3",$G4="U5/4"),$M4,0)</f>
        <v>0</v>
      </c>
      <c r="AL4">
        <f>IF(OR($G4="U6/1",$G4="U6/2"),$I4,0)</f>
        <v>0</v>
      </c>
      <c r="AM4">
        <f>IF(OR($G4="U3/4",$G4="U4/1",$G4="U4/2",$G4="U4/3",),$M4,0)</f>
        <v>0</v>
      </c>
      <c r="AN4">
        <f>IF($G4="U2/5",$I4+($J4+$K4)*0.6,0)</f>
        <v>0</v>
      </c>
      <c r="AO4">
        <f>IF(OR($G4="U5/1",$G4="U5/2",$G4="U5/3",$G4="U5/4"),$M4,0)</f>
        <v>0</v>
      </c>
      <c r="AQ4">
        <f>IF(AND(OR($F4="RE con CU",$F4="RE senza CU"),OR($G4="U2/4",$G4="U2/6",$G4="U3/1")),$I4,0)</f>
        <v>0</v>
      </c>
      <c r="AR4">
        <f>IF(AND(OR($F4="RE con CU",$F4="RE senza CU"),OR($G4="U2/4",$G4="U2/6",$G4="U3/1")),$J4,0)</f>
        <v>0</v>
      </c>
      <c r="AS4">
        <f>IF(AND(OR($F4="RE con CU",$F4="RE senza CU"),OR($G4="U2/1",$G4="U2/2",$G4="U2/3",$G4="U3/2",$G4="U3/3",$G4="U3/5",$G4="U3/5a",$G4="U3/6",$G4="U3/7")),$I4,0)</f>
        <v>0</v>
      </c>
      <c r="AT4">
        <f>IF(AND(OR($F4="RE con CU",$F4="RE senza CU"),OR($G4="U2/1",$G4="U2/2",$G4="U2/3",$G4="U3/2",$G4="U3/3",$G4="U3/5",$G4="U3/5a",$G4="U3/6",$G4="U3/7")),$J4,0)</f>
        <v>0</v>
      </c>
      <c r="AU4">
        <f>IF(AND(OR($F4="RE con CU",$F4="RE senza CU"),OR($G4="U1/1",$G4="U1/2")),$I4,0)</f>
        <v>0</v>
      </c>
      <c r="AV4">
        <f>IF(AND(OR($F4="RE con CU",$F4="RE senza CU"),OR($G4="U1/1",$G4="U1/2")),$J4,0)</f>
        <v>0</v>
      </c>
      <c r="AW4">
        <f aca="true" t="shared" si="2" ref="AW4:AW43">IF(AND(OR($F4="RE con CU",$F4="RE senza CU"),OR($G4="U6/1",$G4="U6/2")),$I4,0)</f>
        <v>0</v>
      </c>
      <c r="AX4">
        <f aca="true" t="shared" si="3" ref="AX4:AX43">IF(AND(OR($F4="RE con CU",$F4="RE senza CU"),OR($G4="U6/1",$G4="U6/2")),$J4,0)</f>
        <v>0</v>
      </c>
      <c r="AY4">
        <f>IF(AND(OR($F4="RE con CU",$F4="RE senza CU"),$G4="U2/5"),$I4,0)</f>
        <v>0</v>
      </c>
      <c r="AZ4">
        <f>IF(AND(OR($F4="RE con CU",$F4="RE senza CU"),$G4="U2/5"),$J4,0)</f>
        <v>0</v>
      </c>
    </row>
    <row r="5" spans="1:52" ht="15" customHeight="1">
      <c r="A5" s="48"/>
      <c r="B5" s="80"/>
      <c r="C5" s="49"/>
      <c r="D5" s="49"/>
      <c r="E5" s="48"/>
      <c r="F5" s="48"/>
      <c r="G5" s="50"/>
      <c r="H5" s="56" t="str">
        <f>VLOOKUP(G:G,A62:B87,2,FALSE)</f>
        <v> </v>
      </c>
      <c r="I5" s="76"/>
      <c r="J5" s="76"/>
      <c r="K5" s="76"/>
      <c r="L5" s="31">
        <f t="shared" si="0"/>
        <v>0</v>
      </c>
      <c r="M5" s="76"/>
      <c r="N5" s="277"/>
      <c r="P5" s="30">
        <f aca="true" t="shared" si="4" ref="P5:P43">IF(AND($F5="NC",OR($G5="U1/1",$G5="U1/2"),$I5&lt;=95),$I5,0)</f>
        <v>0</v>
      </c>
      <c r="Q5" s="30">
        <f aca="true" t="shared" si="5" ref="Q5:Q43">IF(AND($F5="NC",OR($G5="U1/1",$G5="U1/2"),95&lt;$I5,$I5&lt;=110),$I5,0)</f>
        <v>0</v>
      </c>
      <c r="R5" s="30">
        <f aca="true" t="shared" si="6" ref="R5:R43">IF(AND($F5="NC",OR($G5="U1/1",$G5="U1/2"),110&lt;$I5,$I5&lt;=130),$I5,0)</f>
        <v>0</v>
      </c>
      <c r="S5" s="30">
        <f aca="true" t="shared" si="7" ref="S5:S43">IF(AND($F5="NC",OR($G5="U1/1",$G5="U1/2"),130&lt;$I5,$I5&lt;=160),$I5,0)</f>
        <v>0</v>
      </c>
      <c r="T5" s="30">
        <f aca="true" t="shared" si="8" ref="T5:T43">IF(AND($F5="NC",OR($G5="U1/1",$G5="U1/2"),160&lt;$I5),$I5,0)</f>
        <v>0</v>
      </c>
      <c r="U5" s="30">
        <f aca="true" t="shared" si="9" ref="U5:U43">IF(AND($F5="NC",OR($G5="U1/1",$G5="U1/2")),($J5+$K5),0)</f>
        <v>0</v>
      </c>
      <c r="V5" s="30">
        <f aca="true" t="shared" si="10" ref="V5:V43">IF(AND($F5="NC",OR($G5="U2/1",$G5="U2/2",$G5="U2/3",$G5="U3/2",$G5="U3/3",$G5="U3/5",$G5="U3/5a",$G5="U3/6",$G5="U3/7")),$I5,0)</f>
        <v>0</v>
      </c>
      <c r="W5" s="30">
        <f aca="true" t="shared" si="11" ref="W5:W43">IF(AND($F5="NC",OR($G5="U2/1",$G5="U2/2",$G5="U2/3",$G5="U3/2",$G5="U3/3",$G5="U3/5",$G5="U3/5a",$G5="U3/6",$G5="U3/7")),$J5,0)</f>
        <v>0</v>
      </c>
      <c r="X5" s="30">
        <f aca="true" t="shared" si="12" ref="X5:X43">IF(AND($F5="NC",OR($G5="U2/4",$G5="U2/6",$G5="U3/1")),$I5,0)</f>
        <v>0</v>
      </c>
      <c r="Y5" s="30">
        <f aca="true" t="shared" si="13" ref="Y5:Y43">IF(AND($F5="NC",OR($G5="U2/4",$G5="U2/6",$G5="U3/1")),$J5,0)</f>
        <v>0</v>
      </c>
      <c r="Z5" s="30">
        <f aca="true" t="shared" si="14" ref="Z5:Z43">IF(AND($F5="NC",OR($G5="U6/1",$G5="U6/2")),$I5,0)</f>
        <v>0</v>
      </c>
      <c r="AA5" s="30">
        <f aca="true" t="shared" si="15" ref="AA5:AA43">IF(AND($F5="NC",OR($G5="U6/1",$G5="U6/2")),$J5,0)</f>
        <v>0</v>
      </c>
      <c r="AB5" s="30">
        <f aca="true" t="shared" si="16" ref="AB5:AB43">IF(AND($F5="NC",$G5="U5/2"),$I5,0)</f>
        <v>0</v>
      </c>
      <c r="AC5" s="30">
        <f aca="true" t="shared" si="17" ref="AC5:AC43">IF(AND($F5="NC",$G5="U5/2"),$J5,0)</f>
        <v>0</v>
      </c>
      <c r="AE5">
        <f aca="true" t="shared" si="18" ref="AE5:AE43">IF(OR($G5="U1/1",$G5="U1/2",$G5="U2/4",$G5="U2/6",$G5="U3/1",$G5="U6/1",$G5="U6/2"),$I5,0)</f>
        <v>0</v>
      </c>
      <c r="AF5">
        <f aca="true" t="shared" si="19" ref="AF5:AF43">IF(OR($G5="U2/1",$G5="U2/2",$G5="U2/3",$G5="U3/2",$G5="U3/3",$G5="U3/5",$G5="U3/5a",$G5="U3/6",$G5="U3/7",$G5="U2/5"),$I5,0)</f>
        <v>0</v>
      </c>
      <c r="AG5">
        <f aca="true" t="shared" si="20" ref="AG5:AG43">IF(OR($G5="U2/1",$G5="U2/2",$G5="U2/3",$G5="U3/2",$G5="U3/3",$G5="U3/5",$G5="U3/5a",$G5="U3/6",$G5="U3/7"),IF(AND($N5&gt;0,$N5&lt;=250),0,$I5),0)</f>
        <v>0</v>
      </c>
      <c r="AH5">
        <f aca="true" t="shared" si="21" ref="AH5:AH43">IF(OR($G5="U2/1",$G5="U2/2",$G5="U2/3",$G5="U3/2",$G5="U3/3",$G5="U3/5",$G5="U3/5a",$G5="U3/6",$G5="U3/7"),IF(AND($N5&gt;0,$N5&lt;=250),$I5,0),0)</f>
        <v>0</v>
      </c>
      <c r="AI5">
        <f t="shared" si="1"/>
        <v>0</v>
      </c>
      <c r="AJ5">
        <f aca="true" t="shared" si="22" ref="AJ5:AJ43">IF(OR($G5="U3/4",$G5="U4/1",$G5="U4/2",$G5="U4/3",$G5="U5/1",$G5="U5/2",$G5="U5/3",$G5="U5/4"),$M5,0)</f>
        <v>0</v>
      </c>
      <c r="AK5">
        <f aca="true" t="shared" si="23" ref="AK5:AK43">IF(OR($G5="U5/1",$G5="U5/2",$G5="U5/3",$G5="U5/4"),$M5,0)</f>
        <v>0</v>
      </c>
      <c r="AL5">
        <f aca="true" t="shared" si="24" ref="AL5:AL43">IF(OR($G5="U6/1",$G5="U6/2"),$I5,0)</f>
        <v>0</v>
      </c>
      <c r="AM5">
        <f aca="true" t="shared" si="25" ref="AM5:AM43">IF(OR($G5="U3/4",$G5="U4/1",$G5="U4/2",$G5="U4/3",),$M5,0)</f>
        <v>0</v>
      </c>
      <c r="AN5">
        <f aca="true" t="shared" si="26" ref="AN5:AN17">IF($G5="U2/5",$I5+($J5+$K5)*0.6,0)</f>
        <v>0</v>
      </c>
      <c r="AO5">
        <f aca="true" t="shared" si="27" ref="AO5:AO17">IF(OR($G5="U5/1",$G5="U5/2",$G5="U5/3",$G5="U5/4"),$M5,0)</f>
        <v>0</v>
      </c>
      <c r="AQ5">
        <f aca="true" t="shared" si="28" ref="AQ5:AQ43">IF(AND(OR($F5="RE con CU",$F5="RE senza CU"),OR($G5="U2/4",$G5="U2/6",$G5="U3/1")),$I5,0)</f>
        <v>0</v>
      </c>
      <c r="AR5">
        <f aca="true" t="shared" si="29" ref="AR5:AR43">IF(AND(OR($F5="RE con CU",$F5="RE senza CU"),OR($G5="U2/4",$G5="U2/6",$G5="U3/1")),$J5,0)</f>
        <v>0</v>
      </c>
      <c r="AS5">
        <f aca="true" t="shared" si="30" ref="AS5:AS43">IF(AND(OR($F5="RE con CU",$F5="RE senza CU"),OR($G5="U2/1",$G5="U2/2",$G5="U2/3",$G5="U3/2",$G5="U3/3",$G5="U3/5",$G5="U3/5a",$G5="U3/6",$G5="U3/7")),$I5,0)</f>
        <v>0</v>
      </c>
      <c r="AT5">
        <f aca="true" t="shared" si="31" ref="AT5:AT43">IF(AND(OR($F5="RE con CU",$F5="RE senza CU"),OR($G5="U2/1",$G5="U2/2",$G5="U2/3",$G5="U3/2",$G5="U3/3",$G5="U3/5",$G5="U3/5a",$G5="U3/6",$G5="U3/7")),$J5,0)</f>
        <v>0</v>
      </c>
      <c r="AU5">
        <f aca="true" t="shared" si="32" ref="AU5:AU43">IF(AND(OR($F5="RE con CU",$F5="RE senza CU"),OR($G5="U1/1",$G5="U1/2")),$I5,0)</f>
        <v>0</v>
      </c>
      <c r="AV5">
        <f aca="true" t="shared" si="33" ref="AV5:AV43">IF(AND(OR($F5="RE con CU",$F5="RE senza CU"),OR($G5="U1/1",$G5="U1/2")),$J5,0)</f>
        <v>0</v>
      </c>
      <c r="AW5">
        <f t="shared" si="2"/>
        <v>0</v>
      </c>
      <c r="AX5">
        <f t="shared" si="3"/>
        <v>0</v>
      </c>
      <c r="AY5">
        <f aca="true" t="shared" si="34" ref="AY5:AY43">IF(AND(OR($F5="RE con CU",$F5="RE senza CU"),$G5="U2/5"),$I5,0)</f>
        <v>0</v>
      </c>
      <c r="AZ5">
        <f aca="true" t="shared" si="35" ref="AZ5:AZ43">IF(AND(OR($F5="RE con CU",$F5="RE senza CU"),$G5="U2/5"),$J5,0)</f>
        <v>0</v>
      </c>
    </row>
    <row r="6" spans="1:52" ht="15" customHeight="1">
      <c r="A6" s="48"/>
      <c r="B6" s="80"/>
      <c r="C6" s="49"/>
      <c r="D6" s="49"/>
      <c r="E6" s="48"/>
      <c r="F6" s="48"/>
      <c r="G6" s="50"/>
      <c r="H6" s="56" t="str">
        <f>VLOOKUP(G:G,A62:B87,2,FALSE)</f>
        <v> </v>
      </c>
      <c r="I6" s="76"/>
      <c r="J6" s="76"/>
      <c r="K6" s="76"/>
      <c r="L6" s="31">
        <f t="shared" si="0"/>
        <v>0</v>
      </c>
      <c r="M6" s="76"/>
      <c r="N6" s="277"/>
      <c r="P6" s="30">
        <f t="shared" si="4"/>
        <v>0</v>
      </c>
      <c r="Q6" s="30">
        <f t="shared" si="5"/>
        <v>0</v>
      </c>
      <c r="R6" s="30">
        <f t="shared" si="6"/>
        <v>0</v>
      </c>
      <c r="S6" s="30">
        <f t="shared" si="7"/>
        <v>0</v>
      </c>
      <c r="T6" s="30">
        <f t="shared" si="8"/>
        <v>0</v>
      </c>
      <c r="U6" s="30">
        <f t="shared" si="9"/>
        <v>0</v>
      </c>
      <c r="V6" s="30">
        <f t="shared" si="10"/>
        <v>0</v>
      </c>
      <c r="W6" s="30">
        <f t="shared" si="11"/>
        <v>0</v>
      </c>
      <c r="X6" s="30">
        <f t="shared" si="12"/>
        <v>0</v>
      </c>
      <c r="Y6" s="30">
        <f t="shared" si="13"/>
        <v>0</v>
      </c>
      <c r="Z6" s="30">
        <f t="shared" si="14"/>
        <v>0</v>
      </c>
      <c r="AA6" s="30">
        <f t="shared" si="15"/>
        <v>0</v>
      </c>
      <c r="AB6" s="30">
        <f t="shared" si="16"/>
        <v>0</v>
      </c>
      <c r="AC6" s="30">
        <f t="shared" si="17"/>
        <v>0</v>
      </c>
      <c r="AE6">
        <f t="shared" si="18"/>
        <v>0</v>
      </c>
      <c r="AF6">
        <f t="shared" si="19"/>
        <v>0</v>
      </c>
      <c r="AG6">
        <f t="shared" si="20"/>
        <v>0</v>
      </c>
      <c r="AH6">
        <f t="shared" si="21"/>
        <v>0</v>
      </c>
      <c r="AI6">
        <f t="shared" si="1"/>
        <v>0</v>
      </c>
      <c r="AJ6">
        <f t="shared" si="22"/>
        <v>0</v>
      </c>
      <c r="AK6">
        <f t="shared" si="23"/>
        <v>0</v>
      </c>
      <c r="AL6">
        <f t="shared" si="24"/>
        <v>0</v>
      </c>
      <c r="AM6">
        <f t="shared" si="25"/>
        <v>0</v>
      </c>
      <c r="AN6">
        <f t="shared" si="26"/>
        <v>0</v>
      </c>
      <c r="AO6">
        <f t="shared" si="27"/>
        <v>0</v>
      </c>
      <c r="AQ6">
        <f t="shared" si="28"/>
        <v>0</v>
      </c>
      <c r="AR6">
        <f t="shared" si="29"/>
        <v>0</v>
      </c>
      <c r="AS6">
        <f t="shared" si="30"/>
        <v>0</v>
      </c>
      <c r="AT6">
        <f t="shared" si="31"/>
        <v>0</v>
      </c>
      <c r="AU6">
        <f t="shared" si="32"/>
        <v>0</v>
      </c>
      <c r="AV6">
        <f t="shared" si="33"/>
        <v>0</v>
      </c>
      <c r="AW6">
        <f t="shared" si="2"/>
        <v>0</v>
      </c>
      <c r="AX6">
        <f t="shared" si="3"/>
        <v>0</v>
      </c>
      <c r="AY6">
        <f t="shared" si="34"/>
        <v>0</v>
      </c>
      <c r="AZ6">
        <f t="shared" si="35"/>
        <v>0</v>
      </c>
    </row>
    <row r="7" spans="1:52" ht="15" customHeight="1">
      <c r="A7" s="48"/>
      <c r="B7" s="80"/>
      <c r="C7" s="49"/>
      <c r="D7" s="49"/>
      <c r="E7" s="48"/>
      <c r="F7" s="48"/>
      <c r="G7" s="50"/>
      <c r="H7" s="56" t="str">
        <f>VLOOKUP(G:G,A62:B87,2,FALSE)</f>
        <v> </v>
      </c>
      <c r="I7" s="76"/>
      <c r="J7" s="76"/>
      <c r="K7" s="76"/>
      <c r="L7" s="31">
        <f t="shared" si="0"/>
        <v>0</v>
      </c>
      <c r="M7" s="76"/>
      <c r="N7" s="277"/>
      <c r="P7" s="30">
        <f t="shared" si="4"/>
        <v>0</v>
      </c>
      <c r="Q7" s="30">
        <f t="shared" si="5"/>
        <v>0</v>
      </c>
      <c r="R7" s="30">
        <f t="shared" si="6"/>
        <v>0</v>
      </c>
      <c r="S7" s="30">
        <f t="shared" si="7"/>
        <v>0</v>
      </c>
      <c r="T7" s="30">
        <f t="shared" si="8"/>
        <v>0</v>
      </c>
      <c r="U7" s="30">
        <f t="shared" si="9"/>
        <v>0</v>
      </c>
      <c r="V7" s="30">
        <f t="shared" si="10"/>
        <v>0</v>
      </c>
      <c r="W7" s="30">
        <f t="shared" si="11"/>
        <v>0</v>
      </c>
      <c r="X7" s="30">
        <f t="shared" si="12"/>
        <v>0</v>
      </c>
      <c r="Y7" s="30">
        <f t="shared" si="13"/>
        <v>0</v>
      </c>
      <c r="Z7" s="30">
        <f t="shared" si="14"/>
        <v>0</v>
      </c>
      <c r="AA7" s="30">
        <f t="shared" si="15"/>
        <v>0</v>
      </c>
      <c r="AB7" s="30">
        <f t="shared" si="16"/>
        <v>0</v>
      </c>
      <c r="AC7" s="30">
        <f t="shared" si="17"/>
        <v>0</v>
      </c>
      <c r="AE7">
        <f t="shared" si="18"/>
        <v>0</v>
      </c>
      <c r="AF7">
        <f t="shared" si="19"/>
        <v>0</v>
      </c>
      <c r="AG7">
        <f t="shared" si="20"/>
        <v>0</v>
      </c>
      <c r="AH7">
        <f t="shared" si="21"/>
        <v>0</v>
      </c>
      <c r="AI7">
        <f t="shared" si="1"/>
        <v>0</v>
      </c>
      <c r="AJ7">
        <f t="shared" si="22"/>
        <v>0</v>
      </c>
      <c r="AK7">
        <f t="shared" si="23"/>
        <v>0</v>
      </c>
      <c r="AL7">
        <f t="shared" si="24"/>
        <v>0</v>
      </c>
      <c r="AM7">
        <f t="shared" si="25"/>
        <v>0</v>
      </c>
      <c r="AN7">
        <f t="shared" si="26"/>
        <v>0</v>
      </c>
      <c r="AO7">
        <f t="shared" si="27"/>
        <v>0</v>
      </c>
      <c r="AQ7">
        <f t="shared" si="28"/>
        <v>0</v>
      </c>
      <c r="AR7">
        <f t="shared" si="29"/>
        <v>0</v>
      </c>
      <c r="AS7">
        <f t="shared" si="30"/>
        <v>0</v>
      </c>
      <c r="AT7">
        <f t="shared" si="31"/>
        <v>0</v>
      </c>
      <c r="AU7">
        <f t="shared" si="32"/>
        <v>0</v>
      </c>
      <c r="AV7">
        <f t="shared" si="33"/>
        <v>0</v>
      </c>
      <c r="AW7">
        <f t="shared" si="2"/>
        <v>0</v>
      </c>
      <c r="AX7">
        <f t="shared" si="3"/>
        <v>0</v>
      </c>
      <c r="AY7">
        <f t="shared" si="34"/>
        <v>0</v>
      </c>
      <c r="AZ7">
        <f t="shared" si="35"/>
        <v>0</v>
      </c>
    </row>
    <row r="8" spans="1:52" ht="15" customHeight="1">
      <c r="A8" s="48"/>
      <c r="B8" s="80"/>
      <c r="C8" s="49"/>
      <c r="D8" s="49"/>
      <c r="E8" s="48"/>
      <c r="F8" s="48"/>
      <c r="G8" s="50"/>
      <c r="H8" s="56" t="str">
        <f>VLOOKUP(G:G,A62:B87,2,FALSE)</f>
        <v> </v>
      </c>
      <c r="I8" s="76"/>
      <c r="J8" s="76"/>
      <c r="K8" s="76"/>
      <c r="L8" s="31">
        <f t="shared" si="0"/>
        <v>0</v>
      </c>
      <c r="M8" s="76"/>
      <c r="N8" s="277"/>
      <c r="P8" s="30">
        <f t="shared" si="4"/>
        <v>0</v>
      </c>
      <c r="Q8" s="30">
        <f t="shared" si="5"/>
        <v>0</v>
      </c>
      <c r="R8" s="30">
        <f t="shared" si="6"/>
        <v>0</v>
      </c>
      <c r="S8" s="30">
        <f t="shared" si="7"/>
        <v>0</v>
      </c>
      <c r="T8" s="30">
        <f t="shared" si="8"/>
        <v>0</v>
      </c>
      <c r="U8" s="30">
        <f t="shared" si="9"/>
        <v>0</v>
      </c>
      <c r="V8" s="30">
        <f t="shared" si="10"/>
        <v>0</v>
      </c>
      <c r="W8" s="30">
        <f t="shared" si="11"/>
        <v>0</v>
      </c>
      <c r="X8" s="30">
        <f t="shared" si="12"/>
        <v>0</v>
      </c>
      <c r="Y8" s="30">
        <f t="shared" si="13"/>
        <v>0</v>
      </c>
      <c r="Z8" s="30">
        <f t="shared" si="14"/>
        <v>0</v>
      </c>
      <c r="AA8" s="30">
        <f t="shared" si="15"/>
        <v>0</v>
      </c>
      <c r="AB8" s="30">
        <f t="shared" si="16"/>
        <v>0</v>
      </c>
      <c r="AC8" s="30">
        <f t="shared" si="17"/>
        <v>0</v>
      </c>
      <c r="AE8">
        <f t="shared" si="18"/>
        <v>0</v>
      </c>
      <c r="AF8">
        <f t="shared" si="19"/>
        <v>0</v>
      </c>
      <c r="AG8">
        <f t="shared" si="20"/>
        <v>0</v>
      </c>
      <c r="AH8">
        <f t="shared" si="21"/>
        <v>0</v>
      </c>
      <c r="AI8">
        <f t="shared" si="1"/>
        <v>0</v>
      </c>
      <c r="AJ8">
        <f t="shared" si="22"/>
        <v>0</v>
      </c>
      <c r="AK8">
        <f t="shared" si="23"/>
        <v>0</v>
      </c>
      <c r="AL8">
        <f t="shared" si="24"/>
        <v>0</v>
      </c>
      <c r="AM8">
        <f t="shared" si="25"/>
        <v>0</v>
      </c>
      <c r="AN8">
        <f t="shared" si="26"/>
        <v>0</v>
      </c>
      <c r="AO8">
        <f t="shared" si="27"/>
        <v>0</v>
      </c>
      <c r="AQ8">
        <f t="shared" si="28"/>
        <v>0</v>
      </c>
      <c r="AR8">
        <f t="shared" si="29"/>
        <v>0</v>
      </c>
      <c r="AS8">
        <f t="shared" si="30"/>
        <v>0</v>
      </c>
      <c r="AT8">
        <f t="shared" si="31"/>
        <v>0</v>
      </c>
      <c r="AU8">
        <f t="shared" si="32"/>
        <v>0</v>
      </c>
      <c r="AV8">
        <f t="shared" si="33"/>
        <v>0</v>
      </c>
      <c r="AW8">
        <f t="shared" si="2"/>
        <v>0</v>
      </c>
      <c r="AX8">
        <f t="shared" si="3"/>
        <v>0</v>
      </c>
      <c r="AY8">
        <f t="shared" si="34"/>
        <v>0</v>
      </c>
      <c r="AZ8">
        <f t="shared" si="35"/>
        <v>0</v>
      </c>
    </row>
    <row r="9" spans="1:52" ht="15" customHeight="1">
      <c r="A9" s="48"/>
      <c r="B9" s="80"/>
      <c r="C9" s="49"/>
      <c r="D9" s="49"/>
      <c r="E9" s="48"/>
      <c r="F9" s="48"/>
      <c r="G9" s="50"/>
      <c r="H9" s="56" t="str">
        <f>VLOOKUP(G:G,A62:B87,2,FALSE)</f>
        <v> </v>
      </c>
      <c r="I9" s="76"/>
      <c r="J9" s="76"/>
      <c r="K9" s="76"/>
      <c r="L9" s="31">
        <f t="shared" si="0"/>
        <v>0</v>
      </c>
      <c r="M9" s="76"/>
      <c r="N9" s="277"/>
      <c r="P9" s="30">
        <f t="shared" si="4"/>
        <v>0</v>
      </c>
      <c r="Q9" s="30">
        <f t="shared" si="5"/>
        <v>0</v>
      </c>
      <c r="R9" s="30">
        <f t="shared" si="6"/>
        <v>0</v>
      </c>
      <c r="S9" s="30">
        <f t="shared" si="7"/>
        <v>0</v>
      </c>
      <c r="T9" s="30">
        <f t="shared" si="8"/>
        <v>0</v>
      </c>
      <c r="U9" s="30">
        <f t="shared" si="9"/>
        <v>0</v>
      </c>
      <c r="V9" s="30">
        <f t="shared" si="10"/>
        <v>0</v>
      </c>
      <c r="W9" s="30">
        <f t="shared" si="11"/>
        <v>0</v>
      </c>
      <c r="X9" s="30">
        <f t="shared" si="12"/>
        <v>0</v>
      </c>
      <c r="Y9" s="30">
        <f t="shared" si="13"/>
        <v>0</v>
      </c>
      <c r="Z9" s="30">
        <f t="shared" si="14"/>
        <v>0</v>
      </c>
      <c r="AA9" s="30">
        <f t="shared" si="15"/>
        <v>0</v>
      </c>
      <c r="AB9" s="30">
        <f t="shared" si="16"/>
        <v>0</v>
      </c>
      <c r="AC9" s="30">
        <f t="shared" si="17"/>
        <v>0</v>
      </c>
      <c r="AE9">
        <f t="shared" si="18"/>
        <v>0</v>
      </c>
      <c r="AF9">
        <f t="shared" si="19"/>
        <v>0</v>
      </c>
      <c r="AG9">
        <f t="shared" si="20"/>
        <v>0</v>
      </c>
      <c r="AH9">
        <f t="shared" si="21"/>
        <v>0</v>
      </c>
      <c r="AI9">
        <f t="shared" si="1"/>
        <v>0</v>
      </c>
      <c r="AJ9">
        <f t="shared" si="22"/>
        <v>0</v>
      </c>
      <c r="AK9">
        <f t="shared" si="23"/>
        <v>0</v>
      </c>
      <c r="AL9">
        <f t="shared" si="24"/>
        <v>0</v>
      </c>
      <c r="AM9">
        <f t="shared" si="25"/>
        <v>0</v>
      </c>
      <c r="AN9">
        <f t="shared" si="26"/>
        <v>0</v>
      </c>
      <c r="AO9">
        <f t="shared" si="27"/>
        <v>0</v>
      </c>
      <c r="AQ9">
        <f t="shared" si="28"/>
        <v>0</v>
      </c>
      <c r="AR9">
        <f t="shared" si="29"/>
        <v>0</v>
      </c>
      <c r="AS9">
        <f t="shared" si="30"/>
        <v>0</v>
      </c>
      <c r="AT9">
        <f t="shared" si="31"/>
        <v>0</v>
      </c>
      <c r="AU9">
        <f t="shared" si="32"/>
        <v>0</v>
      </c>
      <c r="AV9">
        <f t="shared" si="33"/>
        <v>0</v>
      </c>
      <c r="AW9">
        <f t="shared" si="2"/>
        <v>0</v>
      </c>
      <c r="AX9">
        <f t="shared" si="3"/>
        <v>0</v>
      </c>
      <c r="AY9">
        <f t="shared" si="34"/>
        <v>0</v>
      </c>
      <c r="AZ9">
        <f t="shared" si="35"/>
        <v>0</v>
      </c>
    </row>
    <row r="10" spans="1:52" ht="15" customHeight="1">
      <c r="A10" s="48"/>
      <c r="B10" s="80"/>
      <c r="C10" s="49"/>
      <c r="D10" s="49"/>
      <c r="E10" s="48"/>
      <c r="F10" s="48"/>
      <c r="G10" s="50"/>
      <c r="H10" s="56" t="str">
        <f>VLOOKUP(G:G,A62:B87,2,FALSE)</f>
        <v> </v>
      </c>
      <c r="I10" s="76"/>
      <c r="J10" s="76"/>
      <c r="K10" s="76"/>
      <c r="L10" s="31">
        <f t="shared" si="0"/>
        <v>0</v>
      </c>
      <c r="M10" s="76"/>
      <c r="N10" s="277"/>
      <c r="P10" s="30">
        <f>IF(AND($F10="NC",OR($G10="U1/1",$G10="U1/2"),$I10&lt;=95),$I10,0)</f>
        <v>0</v>
      </c>
      <c r="Q10" s="30">
        <f t="shared" si="5"/>
        <v>0</v>
      </c>
      <c r="R10" s="30">
        <f t="shared" si="6"/>
        <v>0</v>
      </c>
      <c r="S10" s="30">
        <f t="shared" si="7"/>
        <v>0</v>
      </c>
      <c r="T10" s="30">
        <f t="shared" si="8"/>
        <v>0</v>
      </c>
      <c r="U10" s="30">
        <f t="shared" si="9"/>
        <v>0</v>
      </c>
      <c r="V10" s="30">
        <f t="shared" si="10"/>
        <v>0</v>
      </c>
      <c r="W10" s="30">
        <f t="shared" si="11"/>
        <v>0</v>
      </c>
      <c r="X10" s="30">
        <f t="shared" si="12"/>
        <v>0</v>
      </c>
      <c r="Y10" s="30">
        <f t="shared" si="13"/>
        <v>0</v>
      </c>
      <c r="Z10" s="30">
        <f t="shared" si="14"/>
        <v>0</v>
      </c>
      <c r="AA10" s="30">
        <f t="shared" si="15"/>
        <v>0</v>
      </c>
      <c r="AB10" s="30">
        <f t="shared" si="16"/>
        <v>0</v>
      </c>
      <c r="AC10" s="30">
        <f t="shared" si="17"/>
        <v>0</v>
      </c>
      <c r="AE10">
        <f t="shared" si="18"/>
        <v>0</v>
      </c>
      <c r="AF10">
        <f t="shared" si="19"/>
        <v>0</v>
      </c>
      <c r="AG10">
        <f t="shared" si="20"/>
        <v>0</v>
      </c>
      <c r="AH10">
        <f t="shared" si="21"/>
        <v>0</v>
      </c>
      <c r="AI10">
        <f t="shared" si="1"/>
        <v>0</v>
      </c>
      <c r="AJ10">
        <f t="shared" si="22"/>
        <v>0</v>
      </c>
      <c r="AK10">
        <f t="shared" si="23"/>
        <v>0</v>
      </c>
      <c r="AL10">
        <f t="shared" si="24"/>
        <v>0</v>
      </c>
      <c r="AM10">
        <f t="shared" si="25"/>
        <v>0</v>
      </c>
      <c r="AN10">
        <f t="shared" si="26"/>
        <v>0</v>
      </c>
      <c r="AO10">
        <f t="shared" si="27"/>
        <v>0</v>
      </c>
      <c r="AQ10">
        <f t="shared" si="28"/>
        <v>0</v>
      </c>
      <c r="AR10">
        <f t="shared" si="29"/>
        <v>0</v>
      </c>
      <c r="AS10">
        <f t="shared" si="30"/>
        <v>0</v>
      </c>
      <c r="AT10">
        <f t="shared" si="31"/>
        <v>0</v>
      </c>
      <c r="AU10">
        <f t="shared" si="32"/>
        <v>0</v>
      </c>
      <c r="AV10">
        <f t="shared" si="33"/>
        <v>0</v>
      </c>
      <c r="AW10">
        <f t="shared" si="2"/>
        <v>0</v>
      </c>
      <c r="AX10">
        <f t="shared" si="3"/>
        <v>0</v>
      </c>
      <c r="AY10">
        <f t="shared" si="34"/>
        <v>0</v>
      </c>
      <c r="AZ10">
        <f t="shared" si="35"/>
        <v>0</v>
      </c>
    </row>
    <row r="11" spans="1:52" ht="15" customHeight="1">
      <c r="A11" s="48"/>
      <c r="B11" s="80"/>
      <c r="C11" s="49"/>
      <c r="D11" s="49"/>
      <c r="E11" s="48"/>
      <c r="F11" s="48"/>
      <c r="G11" s="50"/>
      <c r="H11" s="56" t="str">
        <f>VLOOKUP(G:G,A62:B87,2,FALSE)</f>
        <v> </v>
      </c>
      <c r="I11" s="76"/>
      <c r="J11" s="76"/>
      <c r="K11" s="76"/>
      <c r="L11" s="31">
        <f t="shared" si="0"/>
        <v>0</v>
      </c>
      <c r="M11" s="76"/>
      <c r="N11" s="277"/>
      <c r="P11" s="30">
        <f t="shared" si="4"/>
        <v>0</v>
      </c>
      <c r="Q11" s="30">
        <f t="shared" si="5"/>
        <v>0</v>
      </c>
      <c r="R11" s="30">
        <f t="shared" si="6"/>
        <v>0</v>
      </c>
      <c r="S11" s="30">
        <f t="shared" si="7"/>
        <v>0</v>
      </c>
      <c r="T11" s="30">
        <f t="shared" si="8"/>
        <v>0</v>
      </c>
      <c r="U11" s="30">
        <f t="shared" si="9"/>
        <v>0</v>
      </c>
      <c r="V11" s="30">
        <f t="shared" si="10"/>
        <v>0</v>
      </c>
      <c r="W11" s="30">
        <f t="shared" si="11"/>
        <v>0</v>
      </c>
      <c r="X11" s="30">
        <f t="shared" si="12"/>
        <v>0</v>
      </c>
      <c r="Y11" s="30">
        <f t="shared" si="13"/>
        <v>0</v>
      </c>
      <c r="Z11" s="30">
        <f t="shared" si="14"/>
        <v>0</v>
      </c>
      <c r="AA11" s="30">
        <f t="shared" si="15"/>
        <v>0</v>
      </c>
      <c r="AB11" s="30">
        <f t="shared" si="16"/>
        <v>0</v>
      </c>
      <c r="AC11" s="30">
        <f t="shared" si="17"/>
        <v>0</v>
      </c>
      <c r="AE11">
        <f t="shared" si="18"/>
        <v>0</v>
      </c>
      <c r="AF11">
        <f t="shared" si="19"/>
        <v>0</v>
      </c>
      <c r="AG11">
        <f t="shared" si="20"/>
        <v>0</v>
      </c>
      <c r="AH11">
        <f t="shared" si="21"/>
        <v>0</v>
      </c>
      <c r="AI11">
        <f t="shared" si="1"/>
        <v>0</v>
      </c>
      <c r="AJ11">
        <f t="shared" si="22"/>
        <v>0</v>
      </c>
      <c r="AK11">
        <f t="shared" si="23"/>
        <v>0</v>
      </c>
      <c r="AL11">
        <f t="shared" si="24"/>
        <v>0</v>
      </c>
      <c r="AM11">
        <f t="shared" si="25"/>
        <v>0</v>
      </c>
      <c r="AN11">
        <f t="shared" si="26"/>
        <v>0</v>
      </c>
      <c r="AO11">
        <f t="shared" si="27"/>
        <v>0</v>
      </c>
      <c r="AQ11">
        <f t="shared" si="28"/>
        <v>0</v>
      </c>
      <c r="AR11">
        <f t="shared" si="29"/>
        <v>0</v>
      </c>
      <c r="AS11">
        <f t="shared" si="30"/>
        <v>0</v>
      </c>
      <c r="AT11">
        <f t="shared" si="31"/>
        <v>0</v>
      </c>
      <c r="AU11">
        <f t="shared" si="32"/>
        <v>0</v>
      </c>
      <c r="AV11">
        <f t="shared" si="33"/>
        <v>0</v>
      </c>
      <c r="AW11">
        <f t="shared" si="2"/>
        <v>0</v>
      </c>
      <c r="AX11">
        <f t="shared" si="3"/>
        <v>0</v>
      </c>
      <c r="AY11">
        <f t="shared" si="34"/>
        <v>0</v>
      </c>
      <c r="AZ11">
        <f t="shared" si="35"/>
        <v>0</v>
      </c>
    </row>
    <row r="12" spans="1:52" ht="15" customHeight="1">
      <c r="A12" s="48"/>
      <c r="B12" s="80"/>
      <c r="C12" s="49"/>
      <c r="D12" s="49"/>
      <c r="E12" s="48"/>
      <c r="F12" s="48"/>
      <c r="G12" s="50"/>
      <c r="H12" s="56" t="str">
        <f>VLOOKUP(G:G,A62:B87,2,FALSE)</f>
        <v> </v>
      </c>
      <c r="I12" s="76"/>
      <c r="J12" s="76"/>
      <c r="K12" s="76"/>
      <c r="L12" s="31">
        <f t="shared" si="0"/>
        <v>0</v>
      </c>
      <c r="M12" s="76"/>
      <c r="N12" s="277"/>
      <c r="P12" s="30">
        <f t="shared" si="4"/>
        <v>0</v>
      </c>
      <c r="Q12" s="30">
        <f t="shared" si="5"/>
        <v>0</v>
      </c>
      <c r="R12" s="30">
        <f t="shared" si="6"/>
        <v>0</v>
      </c>
      <c r="S12" s="30">
        <f t="shared" si="7"/>
        <v>0</v>
      </c>
      <c r="T12" s="30">
        <f t="shared" si="8"/>
        <v>0</v>
      </c>
      <c r="U12" s="30">
        <f t="shared" si="9"/>
        <v>0</v>
      </c>
      <c r="V12" s="30">
        <f t="shared" si="10"/>
        <v>0</v>
      </c>
      <c r="W12" s="30">
        <f t="shared" si="11"/>
        <v>0</v>
      </c>
      <c r="X12" s="30">
        <f t="shared" si="12"/>
        <v>0</v>
      </c>
      <c r="Y12" s="30">
        <f t="shared" si="13"/>
        <v>0</v>
      </c>
      <c r="Z12" s="30">
        <f t="shared" si="14"/>
        <v>0</v>
      </c>
      <c r="AA12" s="30">
        <f t="shared" si="15"/>
        <v>0</v>
      </c>
      <c r="AB12" s="30">
        <f t="shared" si="16"/>
        <v>0</v>
      </c>
      <c r="AC12" s="30">
        <f t="shared" si="17"/>
        <v>0</v>
      </c>
      <c r="AE12">
        <f t="shared" si="18"/>
        <v>0</v>
      </c>
      <c r="AF12">
        <f t="shared" si="19"/>
        <v>0</v>
      </c>
      <c r="AG12">
        <f t="shared" si="20"/>
        <v>0</v>
      </c>
      <c r="AH12">
        <f t="shared" si="21"/>
        <v>0</v>
      </c>
      <c r="AI12">
        <f t="shared" si="1"/>
        <v>0</v>
      </c>
      <c r="AJ12">
        <f t="shared" si="22"/>
        <v>0</v>
      </c>
      <c r="AK12">
        <f t="shared" si="23"/>
        <v>0</v>
      </c>
      <c r="AL12">
        <f t="shared" si="24"/>
        <v>0</v>
      </c>
      <c r="AM12">
        <f t="shared" si="25"/>
        <v>0</v>
      </c>
      <c r="AN12">
        <f t="shared" si="26"/>
        <v>0</v>
      </c>
      <c r="AO12">
        <f t="shared" si="27"/>
        <v>0</v>
      </c>
      <c r="AQ12">
        <f t="shared" si="28"/>
        <v>0</v>
      </c>
      <c r="AR12">
        <f t="shared" si="29"/>
        <v>0</v>
      </c>
      <c r="AS12">
        <f t="shared" si="30"/>
        <v>0</v>
      </c>
      <c r="AT12">
        <f t="shared" si="31"/>
        <v>0</v>
      </c>
      <c r="AU12">
        <f t="shared" si="32"/>
        <v>0</v>
      </c>
      <c r="AV12">
        <f t="shared" si="33"/>
        <v>0</v>
      </c>
      <c r="AW12">
        <f t="shared" si="2"/>
        <v>0</v>
      </c>
      <c r="AX12">
        <f t="shared" si="3"/>
        <v>0</v>
      </c>
      <c r="AY12">
        <f t="shared" si="34"/>
        <v>0</v>
      </c>
      <c r="AZ12">
        <f t="shared" si="35"/>
        <v>0</v>
      </c>
    </row>
    <row r="13" spans="1:52" ht="15" customHeight="1">
      <c r="A13" s="48"/>
      <c r="B13" s="80"/>
      <c r="C13" s="49"/>
      <c r="D13" s="49"/>
      <c r="E13" s="48"/>
      <c r="F13" s="48"/>
      <c r="G13" s="50"/>
      <c r="H13" s="56" t="str">
        <f>VLOOKUP(G:G,A62:B87,2,FALSE)</f>
        <v> </v>
      </c>
      <c r="I13" s="76"/>
      <c r="J13" s="76"/>
      <c r="K13" s="76"/>
      <c r="L13" s="31">
        <f t="shared" si="0"/>
        <v>0</v>
      </c>
      <c r="M13" s="76"/>
      <c r="N13" s="277"/>
      <c r="P13" s="30">
        <f t="shared" si="4"/>
        <v>0</v>
      </c>
      <c r="Q13" s="30">
        <f t="shared" si="5"/>
        <v>0</v>
      </c>
      <c r="R13" s="30">
        <f t="shared" si="6"/>
        <v>0</v>
      </c>
      <c r="S13" s="30">
        <f t="shared" si="7"/>
        <v>0</v>
      </c>
      <c r="T13" s="30">
        <f t="shared" si="8"/>
        <v>0</v>
      </c>
      <c r="U13" s="30">
        <f t="shared" si="9"/>
        <v>0</v>
      </c>
      <c r="V13" s="30">
        <f t="shared" si="10"/>
        <v>0</v>
      </c>
      <c r="W13" s="30">
        <f t="shared" si="11"/>
        <v>0</v>
      </c>
      <c r="X13" s="30">
        <f t="shared" si="12"/>
        <v>0</v>
      </c>
      <c r="Y13" s="30">
        <f t="shared" si="13"/>
        <v>0</v>
      </c>
      <c r="Z13" s="30">
        <f t="shared" si="14"/>
        <v>0</v>
      </c>
      <c r="AA13" s="30">
        <f t="shared" si="15"/>
        <v>0</v>
      </c>
      <c r="AB13" s="30">
        <f t="shared" si="16"/>
        <v>0</v>
      </c>
      <c r="AC13" s="30">
        <f t="shared" si="17"/>
        <v>0</v>
      </c>
      <c r="AE13">
        <f t="shared" si="18"/>
        <v>0</v>
      </c>
      <c r="AF13">
        <f t="shared" si="19"/>
        <v>0</v>
      </c>
      <c r="AG13">
        <f t="shared" si="20"/>
        <v>0</v>
      </c>
      <c r="AH13">
        <f t="shared" si="21"/>
        <v>0</v>
      </c>
      <c r="AI13">
        <f t="shared" si="1"/>
        <v>0</v>
      </c>
      <c r="AJ13">
        <f t="shared" si="22"/>
        <v>0</v>
      </c>
      <c r="AK13">
        <f t="shared" si="23"/>
        <v>0</v>
      </c>
      <c r="AL13">
        <f t="shared" si="24"/>
        <v>0</v>
      </c>
      <c r="AM13">
        <f t="shared" si="25"/>
        <v>0</v>
      </c>
      <c r="AN13">
        <f t="shared" si="26"/>
        <v>0</v>
      </c>
      <c r="AO13">
        <f t="shared" si="27"/>
        <v>0</v>
      </c>
      <c r="AQ13">
        <f t="shared" si="28"/>
        <v>0</v>
      </c>
      <c r="AR13">
        <f t="shared" si="29"/>
        <v>0</v>
      </c>
      <c r="AS13">
        <f t="shared" si="30"/>
        <v>0</v>
      </c>
      <c r="AT13">
        <f t="shared" si="31"/>
        <v>0</v>
      </c>
      <c r="AU13">
        <f t="shared" si="32"/>
        <v>0</v>
      </c>
      <c r="AV13">
        <f t="shared" si="33"/>
        <v>0</v>
      </c>
      <c r="AW13">
        <f t="shared" si="2"/>
        <v>0</v>
      </c>
      <c r="AX13">
        <f t="shared" si="3"/>
        <v>0</v>
      </c>
      <c r="AY13">
        <f t="shared" si="34"/>
        <v>0</v>
      </c>
      <c r="AZ13">
        <f t="shared" si="35"/>
        <v>0</v>
      </c>
    </row>
    <row r="14" spans="1:52" ht="15" customHeight="1">
      <c r="A14" s="48"/>
      <c r="B14" s="80"/>
      <c r="C14" s="49"/>
      <c r="D14" s="49"/>
      <c r="E14" s="48"/>
      <c r="F14" s="48"/>
      <c r="G14" s="50"/>
      <c r="H14" s="56" t="str">
        <f>VLOOKUP(G:G,A62:B87,2,FALSE)</f>
        <v> </v>
      </c>
      <c r="I14" s="76"/>
      <c r="J14" s="76"/>
      <c r="K14" s="76"/>
      <c r="L14" s="31">
        <f t="shared" si="0"/>
        <v>0</v>
      </c>
      <c r="M14" s="76"/>
      <c r="N14" s="277"/>
      <c r="P14" s="30">
        <f t="shared" si="4"/>
        <v>0</v>
      </c>
      <c r="Q14" s="30">
        <f t="shared" si="5"/>
        <v>0</v>
      </c>
      <c r="R14" s="30">
        <f t="shared" si="6"/>
        <v>0</v>
      </c>
      <c r="S14" s="30">
        <f t="shared" si="7"/>
        <v>0</v>
      </c>
      <c r="T14" s="30">
        <f t="shared" si="8"/>
        <v>0</v>
      </c>
      <c r="U14" s="30">
        <f t="shared" si="9"/>
        <v>0</v>
      </c>
      <c r="V14" s="30">
        <f t="shared" si="10"/>
        <v>0</v>
      </c>
      <c r="W14" s="30">
        <f t="shared" si="11"/>
        <v>0</v>
      </c>
      <c r="X14" s="30">
        <f t="shared" si="12"/>
        <v>0</v>
      </c>
      <c r="Y14" s="30">
        <f t="shared" si="13"/>
        <v>0</v>
      </c>
      <c r="Z14" s="30">
        <f t="shared" si="14"/>
        <v>0</v>
      </c>
      <c r="AA14" s="30">
        <f t="shared" si="15"/>
        <v>0</v>
      </c>
      <c r="AB14" s="30">
        <f t="shared" si="16"/>
        <v>0</v>
      </c>
      <c r="AC14" s="30">
        <f t="shared" si="17"/>
        <v>0</v>
      </c>
      <c r="AE14">
        <f t="shared" si="18"/>
        <v>0</v>
      </c>
      <c r="AF14">
        <f t="shared" si="19"/>
        <v>0</v>
      </c>
      <c r="AG14">
        <f t="shared" si="20"/>
        <v>0</v>
      </c>
      <c r="AH14">
        <f t="shared" si="21"/>
        <v>0</v>
      </c>
      <c r="AI14">
        <f t="shared" si="1"/>
        <v>0</v>
      </c>
      <c r="AJ14">
        <f t="shared" si="22"/>
        <v>0</v>
      </c>
      <c r="AK14">
        <f t="shared" si="23"/>
        <v>0</v>
      </c>
      <c r="AL14">
        <f t="shared" si="24"/>
        <v>0</v>
      </c>
      <c r="AM14">
        <f t="shared" si="25"/>
        <v>0</v>
      </c>
      <c r="AN14">
        <f t="shared" si="26"/>
        <v>0</v>
      </c>
      <c r="AO14">
        <f t="shared" si="27"/>
        <v>0</v>
      </c>
      <c r="AQ14">
        <f t="shared" si="28"/>
        <v>0</v>
      </c>
      <c r="AR14">
        <f t="shared" si="29"/>
        <v>0</v>
      </c>
      <c r="AS14">
        <f t="shared" si="30"/>
        <v>0</v>
      </c>
      <c r="AT14">
        <f t="shared" si="31"/>
        <v>0</v>
      </c>
      <c r="AU14">
        <f t="shared" si="32"/>
        <v>0</v>
      </c>
      <c r="AV14">
        <f t="shared" si="33"/>
        <v>0</v>
      </c>
      <c r="AW14">
        <f t="shared" si="2"/>
        <v>0</v>
      </c>
      <c r="AX14">
        <f t="shared" si="3"/>
        <v>0</v>
      </c>
      <c r="AY14">
        <f t="shared" si="34"/>
        <v>0</v>
      </c>
      <c r="AZ14">
        <f t="shared" si="35"/>
        <v>0</v>
      </c>
    </row>
    <row r="15" spans="1:52" ht="15" customHeight="1">
      <c r="A15" s="48"/>
      <c r="B15" s="80"/>
      <c r="C15" s="49"/>
      <c r="D15" s="49"/>
      <c r="E15" s="48"/>
      <c r="F15" s="48"/>
      <c r="G15" s="50"/>
      <c r="H15" s="56" t="str">
        <f>VLOOKUP(G:G,A62:B87,2,FALSE)</f>
        <v> </v>
      </c>
      <c r="I15" s="76"/>
      <c r="J15" s="76"/>
      <c r="K15" s="76"/>
      <c r="L15" s="31">
        <f t="shared" si="0"/>
        <v>0</v>
      </c>
      <c r="M15" s="76"/>
      <c r="N15" s="277"/>
      <c r="P15" s="30">
        <f t="shared" si="4"/>
        <v>0</v>
      </c>
      <c r="Q15" s="30">
        <f t="shared" si="5"/>
        <v>0</v>
      </c>
      <c r="R15" s="30">
        <f t="shared" si="6"/>
        <v>0</v>
      </c>
      <c r="S15" s="30">
        <f t="shared" si="7"/>
        <v>0</v>
      </c>
      <c r="T15" s="30">
        <f t="shared" si="8"/>
        <v>0</v>
      </c>
      <c r="U15" s="30">
        <f t="shared" si="9"/>
        <v>0</v>
      </c>
      <c r="V15" s="30">
        <f t="shared" si="10"/>
        <v>0</v>
      </c>
      <c r="W15" s="30">
        <f t="shared" si="11"/>
        <v>0</v>
      </c>
      <c r="X15" s="30">
        <f t="shared" si="12"/>
        <v>0</v>
      </c>
      <c r="Y15" s="30">
        <f t="shared" si="13"/>
        <v>0</v>
      </c>
      <c r="Z15" s="30">
        <f t="shared" si="14"/>
        <v>0</v>
      </c>
      <c r="AA15" s="30">
        <f t="shared" si="15"/>
        <v>0</v>
      </c>
      <c r="AB15" s="30">
        <f t="shared" si="16"/>
        <v>0</v>
      </c>
      <c r="AC15" s="30">
        <f t="shared" si="17"/>
        <v>0</v>
      </c>
      <c r="AE15">
        <f t="shared" si="18"/>
        <v>0</v>
      </c>
      <c r="AF15">
        <f t="shared" si="19"/>
        <v>0</v>
      </c>
      <c r="AG15">
        <f t="shared" si="20"/>
        <v>0</v>
      </c>
      <c r="AH15">
        <f t="shared" si="21"/>
        <v>0</v>
      </c>
      <c r="AI15">
        <f t="shared" si="1"/>
        <v>0</v>
      </c>
      <c r="AJ15">
        <f t="shared" si="22"/>
        <v>0</v>
      </c>
      <c r="AK15">
        <f t="shared" si="23"/>
        <v>0</v>
      </c>
      <c r="AL15">
        <f t="shared" si="24"/>
        <v>0</v>
      </c>
      <c r="AM15">
        <f t="shared" si="25"/>
        <v>0</v>
      </c>
      <c r="AN15">
        <f t="shared" si="26"/>
        <v>0</v>
      </c>
      <c r="AO15">
        <f t="shared" si="27"/>
        <v>0</v>
      </c>
      <c r="AQ15">
        <f t="shared" si="28"/>
        <v>0</v>
      </c>
      <c r="AR15">
        <f t="shared" si="29"/>
        <v>0</v>
      </c>
      <c r="AS15">
        <f t="shared" si="30"/>
        <v>0</v>
      </c>
      <c r="AT15">
        <f t="shared" si="31"/>
        <v>0</v>
      </c>
      <c r="AU15">
        <f t="shared" si="32"/>
        <v>0</v>
      </c>
      <c r="AV15">
        <f t="shared" si="33"/>
        <v>0</v>
      </c>
      <c r="AW15">
        <f t="shared" si="2"/>
        <v>0</v>
      </c>
      <c r="AX15">
        <f t="shared" si="3"/>
        <v>0</v>
      </c>
      <c r="AY15">
        <f t="shared" si="34"/>
        <v>0</v>
      </c>
      <c r="AZ15">
        <f t="shared" si="35"/>
        <v>0</v>
      </c>
    </row>
    <row r="16" spans="1:52" ht="15" customHeight="1">
      <c r="A16" s="48"/>
      <c r="B16" s="80"/>
      <c r="C16" s="49"/>
      <c r="D16" s="49"/>
      <c r="E16" s="48"/>
      <c r="F16" s="48"/>
      <c r="G16" s="50"/>
      <c r="H16" s="56" t="str">
        <f>VLOOKUP(G:G,A62:B87,2,FALSE)</f>
        <v> </v>
      </c>
      <c r="I16" s="76"/>
      <c r="J16" s="76"/>
      <c r="K16" s="76"/>
      <c r="L16" s="31">
        <f t="shared" si="0"/>
        <v>0</v>
      </c>
      <c r="M16" s="76"/>
      <c r="N16" s="277"/>
      <c r="P16" s="30">
        <f t="shared" si="4"/>
        <v>0</v>
      </c>
      <c r="Q16" s="30">
        <f t="shared" si="5"/>
        <v>0</v>
      </c>
      <c r="R16" s="30">
        <f t="shared" si="6"/>
        <v>0</v>
      </c>
      <c r="S16" s="30">
        <f t="shared" si="7"/>
        <v>0</v>
      </c>
      <c r="T16" s="30">
        <f t="shared" si="8"/>
        <v>0</v>
      </c>
      <c r="U16" s="30">
        <f t="shared" si="9"/>
        <v>0</v>
      </c>
      <c r="V16" s="30">
        <f t="shared" si="10"/>
        <v>0</v>
      </c>
      <c r="W16" s="30">
        <f t="shared" si="11"/>
        <v>0</v>
      </c>
      <c r="X16" s="30">
        <f t="shared" si="12"/>
        <v>0</v>
      </c>
      <c r="Y16" s="30">
        <f t="shared" si="13"/>
        <v>0</v>
      </c>
      <c r="Z16" s="30">
        <f t="shared" si="14"/>
        <v>0</v>
      </c>
      <c r="AA16" s="30">
        <f t="shared" si="15"/>
        <v>0</v>
      </c>
      <c r="AB16" s="30">
        <f t="shared" si="16"/>
        <v>0</v>
      </c>
      <c r="AC16" s="30">
        <f t="shared" si="17"/>
        <v>0</v>
      </c>
      <c r="AE16">
        <f t="shared" si="18"/>
        <v>0</v>
      </c>
      <c r="AF16">
        <f t="shared" si="19"/>
        <v>0</v>
      </c>
      <c r="AG16">
        <f t="shared" si="20"/>
        <v>0</v>
      </c>
      <c r="AH16">
        <f t="shared" si="21"/>
        <v>0</v>
      </c>
      <c r="AI16">
        <f t="shared" si="1"/>
        <v>0</v>
      </c>
      <c r="AJ16">
        <f t="shared" si="22"/>
        <v>0</v>
      </c>
      <c r="AK16">
        <f t="shared" si="23"/>
        <v>0</v>
      </c>
      <c r="AL16">
        <f t="shared" si="24"/>
        <v>0</v>
      </c>
      <c r="AM16">
        <f t="shared" si="25"/>
        <v>0</v>
      </c>
      <c r="AN16">
        <f t="shared" si="26"/>
        <v>0</v>
      </c>
      <c r="AO16">
        <f t="shared" si="27"/>
        <v>0</v>
      </c>
      <c r="AQ16">
        <f t="shared" si="28"/>
        <v>0</v>
      </c>
      <c r="AR16">
        <f t="shared" si="29"/>
        <v>0</v>
      </c>
      <c r="AS16">
        <f t="shared" si="30"/>
        <v>0</v>
      </c>
      <c r="AT16">
        <f t="shared" si="31"/>
        <v>0</v>
      </c>
      <c r="AU16">
        <f t="shared" si="32"/>
        <v>0</v>
      </c>
      <c r="AV16">
        <f t="shared" si="33"/>
        <v>0</v>
      </c>
      <c r="AW16">
        <f t="shared" si="2"/>
        <v>0</v>
      </c>
      <c r="AX16">
        <f t="shared" si="3"/>
        <v>0</v>
      </c>
      <c r="AY16">
        <f t="shared" si="34"/>
        <v>0</v>
      </c>
      <c r="AZ16">
        <f t="shared" si="35"/>
        <v>0</v>
      </c>
    </row>
    <row r="17" spans="1:52" ht="15" customHeight="1">
      <c r="A17" s="48"/>
      <c r="B17" s="80"/>
      <c r="C17" s="49"/>
      <c r="D17" s="49"/>
      <c r="E17" s="48"/>
      <c r="F17" s="48"/>
      <c r="G17" s="50"/>
      <c r="H17" s="56" t="str">
        <f>VLOOKUP(G:G,A62:B87,2,FALSE)</f>
        <v> </v>
      </c>
      <c r="I17" s="76"/>
      <c r="J17" s="76"/>
      <c r="K17" s="76"/>
      <c r="L17" s="31">
        <f t="shared" si="0"/>
        <v>0</v>
      </c>
      <c r="M17" s="76"/>
      <c r="N17" s="277"/>
      <c r="P17" s="30">
        <f t="shared" si="4"/>
        <v>0</v>
      </c>
      <c r="Q17" s="30">
        <f t="shared" si="5"/>
        <v>0</v>
      </c>
      <c r="R17" s="30">
        <f t="shared" si="6"/>
        <v>0</v>
      </c>
      <c r="S17" s="30">
        <f t="shared" si="7"/>
        <v>0</v>
      </c>
      <c r="T17" s="30">
        <f t="shared" si="8"/>
        <v>0</v>
      </c>
      <c r="U17" s="30">
        <f t="shared" si="9"/>
        <v>0</v>
      </c>
      <c r="V17" s="30">
        <f t="shared" si="10"/>
        <v>0</v>
      </c>
      <c r="W17" s="30">
        <f t="shared" si="11"/>
        <v>0</v>
      </c>
      <c r="X17" s="30">
        <f t="shared" si="12"/>
        <v>0</v>
      </c>
      <c r="Y17" s="30">
        <f t="shared" si="13"/>
        <v>0</v>
      </c>
      <c r="Z17" s="30">
        <f t="shared" si="14"/>
        <v>0</v>
      </c>
      <c r="AA17" s="30">
        <f t="shared" si="15"/>
        <v>0</v>
      </c>
      <c r="AB17" s="30">
        <f t="shared" si="16"/>
        <v>0</v>
      </c>
      <c r="AC17" s="30">
        <f t="shared" si="17"/>
        <v>0</v>
      </c>
      <c r="AE17">
        <f t="shared" si="18"/>
        <v>0</v>
      </c>
      <c r="AF17">
        <f t="shared" si="19"/>
        <v>0</v>
      </c>
      <c r="AG17">
        <f t="shared" si="20"/>
        <v>0</v>
      </c>
      <c r="AH17">
        <f t="shared" si="21"/>
        <v>0</v>
      </c>
      <c r="AI17">
        <f t="shared" si="1"/>
        <v>0</v>
      </c>
      <c r="AJ17">
        <f t="shared" si="22"/>
        <v>0</v>
      </c>
      <c r="AK17">
        <f t="shared" si="23"/>
        <v>0</v>
      </c>
      <c r="AL17">
        <f t="shared" si="24"/>
        <v>0</v>
      </c>
      <c r="AM17">
        <f t="shared" si="25"/>
        <v>0</v>
      </c>
      <c r="AN17">
        <f t="shared" si="26"/>
        <v>0</v>
      </c>
      <c r="AO17">
        <f t="shared" si="27"/>
        <v>0</v>
      </c>
      <c r="AQ17">
        <f t="shared" si="28"/>
        <v>0</v>
      </c>
      <c r="AR17">
        <f t="shared" si="29"/>
        <v>0</v>
      </c>
      <c r="AS17">
        <f t="shared" si="30"/>
        <v>0</v>
      </c>
      <c r="AT17">
        <f t="shared" si="31"/>
        <v>0</v>
      </c>
      <c r="AU17">
        <f t="shared" si="32"/>
        <v>0</v>
      </c>
      <c r="AV17">
        <f t="shared" si="33"/>
        <v>0</v>
      </c>
      <c r="AW17">
        <f t="shared" si="2"/>
        <v>0</v>
      </c>
      <c r="AX17">
        <f t="shared" si="3"/>
        <v>0</v>
      </c>
      <c r="AY17">
        <f t="shared" si="34"/>
        <v>0</v>
      </c>
      <c r="AZ17">
        <f t="shared" si="35"/>
        <v>0</v>
      </c>
    </row>
    <row r="18" spans="1:52" ht="15" customHeight="1">
      <c r="A18" s="48"/>
      <c r="B18" s="80"/>
      <c r="C18" s="49"/>
      <c r="D18" s="49"/>
      <c r="E18" s="48"/>
      <c r="F18" s="48"/>
      <c r="G18" s="50"/>
      <c r="H18" s="56" t="str">
        <f>VLOOKUP(G:G,A62:B87,2,FALSE)</f>
        <v> </v>
      </c>
      <c r="I18" s="76"/>
      <c r="J18" s="76"/>
      <c r="K18" s="76"/>
      <c r="L18" s="31">
        <f t="shared" si="0"/>
        <v>0</v>
      </c>
      <c r="M18" s="76"/>
      <c r="N18" s="277"/>
      <c r="P18" s="30">
        <f t="shared" si="4"/>
        <v>0</v>
      </c>
      <c r="Q18" s="30">
        <f t="shared" si="5"/>
        <v>0</v>
      </c>
      <c r="R18" s="30">
        <f t="shared" si="6"/>
        <v>0</v>
      </c>
      <c r="S18" s="30">
        <f t="shared" si="7"/>
        <v>0</v>
      </c>
      <c r="T18" s="30">
        <f t="shared" si="8"/>
        <v>0</v>
      </c>
      <c r="U18" s="30">
        <f t="shared" si="9"/>
        <v>0</v>
      </c>
      <c r="V18" s="30">
        <f t="shared" si="10"/>
        <v>0</v>
      </c>
      <c r="W18" s="30">
        <f t="shared" si="11"/>
        <v>0</v>
      </c>
      <c r="X18" s="30">
        <f t="shared" si="12"/>
        <v>0</v>
      </c>
      <c r="Y18" s="30">
        <f t="shared" si="13"/>
        <v>0</v>
      </c>
      <c r="Z18" s="30">
        <f t="shared" si="14"/>
        <v>0</v>
      </c>
      <c r="AA18" s="30">
        <f t="shared" si="15"/>
        <v>0</v>
      </c>
      <c r="AB18" s="30">
        <f t="shared" si="16"/>
        <v>0</v>
      </c>
      <c r="AC18" s="30">
        <f t="shared" si="17"/>
        <v>0</v>
      </c>
      <c r="AE18">
        <f t="shared" si="18"/>
        <v>0</v>
      </c>
      <c r="AF18">
        <f t="shared" si="19"/>
        <v>0</v>
      </c>
      <c r="AG18">
        <f t="shared" si="20"/>
        <v>0</v>
      </c>
      <c r="AH18">
        <f t="shared" si="21"/>
        <v>0</v>
      </c>
      <c r="AI18">
        <f t="shared" si="1"/>
        <v>0</v>
      </c>
      <c r="AJ18">
        <f t="shared" si="22"/>
        <v>0</v>
      </c>
      <c r="AK18">
        <f t="shared" si="23"/>
        <v>0</v>
      </c>
      <c r="AL18">
        <f t="shared" si="24"/>
        <v>0</v>
      </c>
      <c r="AM18">
        <f t="shared" si="25"/>
        <v>0</v>
      </c>
      <c r="AN18">
        <f>IF($G18="U2/5",$I18+($J18+$K18)*0.6,0)</f>
        <v>0</v>
      </c>
      <c r="AO18">
        <f>IF(OR($G18="U5/1",$G18="U5/2",$G18="U5/3",$G18="U5/4"),$M18,0)</f>
        <v>0</v>
      </c>
      <c r="AQ18">
        <f t="shared" si="28"/>
        <v>0</v>
      </c>
      <c r="AR18">
        <f t="shared" si="29"/>
        <v>0</v>
      </c>
      <c r="AS18">
        <f t="shared" si="30"/>
        <v>0</v>
      </c>
      <c r="AT18">
        <f t="shared" si="31"/>
        <v>0</v>
      </c>
      <c r="AU18">
        <f t="shared" si="32"/>
        <v>0</v>
      </c>
      <c r="AV18">
        <f t="shared" si="33"/>
        <v>0</v>
      </c>
      <c r="AW18">
        <f t="shared" si="2"/>
        <v>0</v>
      </c>
      <c r="AX18">
        <f t="shared" si="3"/>
        <v>0</v>
      </c>
      <c r="AY18">
        <f t="shared" si="34"/>
        <v>0</v>
      </c>
      <c r="AZ18">
        <f t="shared" si="35"/>
        <v>0</v>
      </c>
    </row>
    <row r="19" spans="1:52" ht="15" customHeight="1">
      <c r="A19" s="48"/>
      <c r="B19" s="80"/>
      <c r="C19" s="49"/>
      <c r="D19" s="49"/>
      <c r="E19" s="48"/>
      <c r="F19" s="48"/>
      <c r="G19" s="50"/>
      <c r="H19" s="56" t="str">
        <f>VLOOKUP(G:G,A62:B87,2,FALSE)</f>
        <v> </v>
      </c>
      <c r="I19" s="76"/>
      <c r="J19" s="76"/>
      <c r="K19" s="76"/>
      <c r="L19" s="31">
        <f t="shared" si="0"/>
        <v>0</v>
      </c>
      <c r="M19" s="76"/>
      <c r="N19" s="277"/>
      <c r="P19" s="30">
        <f t="shared" si="4"/>
        <v>0</v>
      </c>
      <c r="Q19" s="30">
        <f t="shared" si="5"/>
        <v>0</v>
      </c>
      <c r="R19" s="30">
        <f t="shared" si="6"/>
        <v>0</v>
      </c>
      <c r="S19" s="30">
        <f t="shared" si="7"/>
        <v>0</v>
      </c>
      <c r="T19" s="30">
        <f t="shared" si="8"/>
        <v>0</v>
      </c>
      <c r="U19" s="30">
        <f t="shared" si="9"/>
        <v>0</v>
      </c>
      <c r="V19" s="30">
        <f t="shared" si="10"/>
        <v>0</v>
      </c>
      <c r="W19" s="30">
        <f t="shared" si="11"/>
        <v>0</v>
      </c>
      <c r="X19" s="30">
        <f t="shared" si="12"/>
        <v>0</v>
      </c>
      <c r="Y19" s="30">
        <f t="shared" si="13"/>
        <v>0</v>
      </c>
      <c r="Z19" s="30">
        <f t="shared" si="14"/>
        <v>0</v>
      </c>
      <c r="AA19" s="30">
        <f t="shared" si="15"/>
        <v>0</v>
      </c>
      <c r="AB19" s="30">
        <f t="shared" si="16"/>
        <v>0</v>
      </c>
      <c r="AC19" s="30">
        <f t="shared" si="17"/>
        <v>0</v>
      </c>
      <c r="AE19">
        <f t="shared" si="18"/>
        <v>0</v>
      </c>
      <c r="AF19">
        <f t="shared" si="19"/>
        <v>0</v>
      </c>
      <c r="AG19">
        <f t="shared" si="20"/>
        <v>0</v>
      </c>
      <c r="AH19">
        <f t="shared" si="21"/>
        <v>0</v>
      </c>
      <c r="AI19">
        <f t="shared" si="1"/>
        <v>0</v>
      </c>
      <c r="AJ19">
        <f t="shared" si="22"/>
        <v>0</v>
      </c>
      <c r="AK19">
        <f t="shared" si="23"/>
        <v>0</v>
      </c>
      <c r="AL19">
        <f t="shared" si="24"/>
        <v>0</v>
      </c>
      <c r="AM19">
        <f t="shared" si="25"/>
        <v>0</v>
      </c>
      <c r="AN19">
        <f>IF($G19="U2/5",$I19+($J19+$K19)*0.6,0)</f>
        <v>0</v>
      </c>
      <c r="AO19">
        <f>IF(OR($G19="U5/1",$G19="U5/2",$G19="U5/3",$G19="U5/4"),$M19,0)</f>
        <v>0</v>
      </c>
      <c r="AQ19">
        <f t="shared" si="28"/>
        <v>0</v>
      </c>
      <c r="AR19">
        <f t="shared" si="29"/>
        <v>0</v>
      </c>
      <c r="AS19">
        <f t="shared" si="30"/>
        <v>0</v>
      </c>
      <c r="AT19">
        <f t="shared" si="31"/>
        <v>0</v>
      </c>
      <c r="AU19">
        <f t="shared" si="32"/>
        <v>0</v>
      </c>
      <c r="AV19">
        <f t="shared" si="33"/>
        <v>0</v>
      </c>
      <c r="AW19">
        <f t="shared" si="2"/>
        <v>0</v>
      </c>
      <c r="AX19">
        <f t="shared" si="3"/>
        <v>0</v>
      </c>
      <c r="AY19">
        <f t="shared" si="34"/>
        <v>0</v>
      </c>
      <c r="AZ19">
        <f t="shared" si="35"/>
        <v>0</v>
      </c>
    </row>
    <row r="20" spans="1:52" ht="15" customHeight="1">
      <c r="A20" s="48"/>
      <c r="B20" s="80"/>
      <c r="C20" s="49"/>
      <c r="D20" s="49"/>
      <c r="E20" s="48"/>
      <c r="F20" s="48"/>
      <c r="G20" s="50"/>
      <c r="H20" s="56" t="str">
        <f>VLOOKUP(G:G,A62:B87,2,FALSE)</f>
        <v> </v>
      </c>
      <c r="I20" s="76"/>
      <c r="J20" s="76"/>
      <c r="K20" s="76"/>
      <c r="L20" s="31">
        <f t="shared" si="0"/>
        <v>0</v>
      </c>
      <c r="M20" s="76"/>
      <c r="N20" s="277"/>
      <c r="P20" s="30">
        <f t="shared" si="4"/>
        <v>0</v>
      </c>
      <c r="Q20" s="30">
        <f t="shared" si="5"/>
        <v>0</v>
      </c>
      <c r="R20" s="30">
        <f t="shared" si="6"/>
        <v>0</v>
      </c>
      <c r="S20" s="30">
        <f t="shared" si="7"/>
        <v>0</v>
      </c>
      <c r="T20" s="30">
        <f t="shared" si="8"/>
        <v>0</v>
      </c>
      <c r="U20" s="30">
        <f t="shared" si="9"/>
        <v>0</v>
      </c>
      <c r="V20" s="30">
        <f t="shared" si="10"/>
        <v>0</v>
      </c>
      <c r="W20" s="30">
        <f t="shared" si="11"/>
        <v>0</v>
      </c>
      <c r="X20" s="30">
        <f t="shared" si="12"/>
        <v>0</v>
      </c>
      <c r="Y20" s="30">
        <f t="shared" si="13"/>
        <v>0</v>
      </c>
      <c r="Z20" s="30">
        <f t="shared" si="14"/>
        <v>0</v>
      </c>
      <c r="AA20" s="30">
        <f t="shared" si="15"/>
        <v>0</v>
      </c>
      <c r="AB20" s="30">
        <f t="shared" si="16"/>
        <v>0</v>
      </c>
      <c r="AC20" s="30">
        <f t="shared" si="17"/>
        <v>0</v>
      </c>
      <c r="AE20">
        <f t="shared" si="18"/>
        <v>0</v>
      </c>
      <c r="AF20">
        <f t="shared" si="19"/>
        <v>0</v>
      </c>
      <c r="AG20">
        <f t="shared" si="20"/>
        <v>0</v>
      </c>
      <c r="AH20">
        <f t="shared" si="21"/>
        <v>0</v>
      </c>
      <c r="AI20">
        <f t="shared" si="1"/>
        <v>0</v>
      </c>
      <c r="AJ20">
        <f t="shared" si="22"/>
        <v>0</v>
      </c>
      <c r="AK20">
        <f t="shared" si="23"/>
        <v>0</v>
      </c>
      <c r="AL20">
        <f t="shared" si="24"/>
        <v>0</v>
      </c>
      <c r="AM20">
        <f t="shared" si="25"/>
        <v>0</v>
      </c>
      <c r="AN20">
        <f aca="true" t="shared" si="36" ref="AN20:AN39">IF($G20="U2/5",$I20+($J20+$K20)*0.6,0)</f>
        <v>0</v>
      </c>
      <c r="AO20">
        <f aca="true" t="shared" si="37" ref="AO20:AO39">IF(OR($G20="U5/1",$G20="U5/2",$G20="U5/3",$G20="U5/4"),$M20,0)</f>
        <v>0</v>
      </c>
      <c r="AQ20">
        <f t="shared" si="28"/>
        <v>0</v>
      </c>
      <c r="AR20">
        <f t="shared" si="29"/>
        <v>0</v>
      </c>
      <c r="AS20">
        <f t="shared" si="30"/>
        <v>0</v>
      </c>
      <c r="AT20">
        <f t="shared" si="31"/>
        <v>0</v>
      </c>
      <c r="AU20">
        <f t="shared" si="32"/>
        <v>0</v>
      </c>
      <c r="AV20">
        <f t="shared" si="33"/>
        <v>0</v>
      </c>
      <c r="AW20">
        <f t="shared" si="2"/>
        <v>0</v>
      </c>
      <c r="AX20">
        <f t="shared" si="3"/>
        <v>0</v>
      </c>
      <c r="AY20">
        <f t="shared" si="34"/>
        <v>0</v>
      </c>
      <c r="AZ20">
        <f t="shared" si="35"/>
        <v>0</v>
      </c>
    </row>
    <row r="21" spans="1:52" ht="15" customHeight="1">
      <c r="A21" s="48"/>
      <c r="B21" s="80"/>
      <c r="C21" s="49"/>
      <c r="D21" s="49"/>
      <c r="E21" s="48"/>
      <c r="F21" s="48"/>
      <c r="G21" s="50"/>
      <c r="H21" s="56" t="str">
        <f>VLOOKUP(G:G,A62:B87,2,FALSE)</f>
        <v> </v>
      </c>
      <c r="I21" s="76"/>
      <c r="J21" s="76"/>
      <c r="K21" s="76"/>
      <c r="L21" s="31">
        <f t="shared" si="0"/>
        <v>0</v>
      </c>
      <c r="M21" s="76"/>
      <c r="N21" s="277"/>
      <c r="P21" s="30">
        <f t="shared" si="4"/>
        <v>0</v>
      </c>
      <c r="Q21" s="30">
        <f t="shared" si="5"/>
        <v>0</v>
      </c>
      <c r="R21" s="30">
        <f t="shared" si="6"/>
        <v>0</v>
      </c>
      <c r="S21" s="30">
        <f t="shared" si="7"/>
        <v>0</v>
      </c>
      <c r="T21" s="30">
        <f t="shared" si="8"/>
        <v>0</v>
      </c>
      <c r="U21" s="30">
        <f t="shared" si="9"/>
        <v>0</v>
      </c>
      <c r="V21" s="30">
        <f t="shared" si="10"/>
        <v>0</v>
      </c>
      <c r="W21" s="30">
        <f t="shared" si="11"/>
        <v>0</v>
      </c>
      <c r="X21" s="30">
        <f t="shared" si="12"/>
        <v>0</v>
      </c>
      <c r="Y21" s="30">
        <f t="shared" si="13"/>
        <v>0</v>
      </c>
      <c r="Z21" s="30">
        <f t="shared" si="14"/>
        <v>0</v>
      </c>
      <c r="AA21" s="30">
        <f t="shared" si="15"/>
        <v>0</v>
      </c>
      <c r="AB21" s="30">
        <f t="shared" si="16"/>
        <v>0</v>
      </c>
      <c r="AC21" s="30">
        <f t="shared" si="17"/>
        <v>0</v>
      </c>
      <c r="AE21">
        <f t="shared" si="18"/>
        <v>0</v>
      </c>
      <c r="AF21">
        <f t="shared" si="19"/>
        <v>0</v>
      </c>
      <c r="AG21">
        <f t="shared" si="20"/>
        <v>0</v>
      </c>
      <c r="AH21">
        <f t="shared" si="21"/>
        <v>0</v>
      </c>
      <c r="AI21">
        <f t="shared" si="1"/>
        <v>0</v>
      </c>
      <c r="AJ21">
        <f t="shared" si="22"/>
        <v>0</v>
      </c>
      <c r="AK21">
        <f t="shared" si="23"/>
        <v>0</v>
      </c>
      <c r="AL21">
        <f t="shared" si="24"/>
        <v>0</v>
      </c>
      <c r="AM21">
        <f t="shared" si="25"/>
        <v>0</v>
      </c>
      <c r="AN21">
        <f t="shared" si="36"/>
        <v>0</v>
      </c>
      <c r="AO21">
        <f t="shared" si="37"/>
        <v>0</v>
      </c>
      <c r="AQ21">
        <f t="shared" si="28"/>
        <v>0</v>
      </c>
      <c r="AR21">
        <f t="shared" si="29"/>
        <v>0</v>
      </c>
      <c r="AS21">
        <f t="shared" si="30"/>
        <v>0</v>
      </c>
      <c r="AT21">
        <f t="shared" si="31"/>
        <v>0</v>
      </c>
      <c r="AU21">
        <f t="shared" si="32"/>
        <v>0</v>
      </c>
      <c r="AV21">
        <f t="shared" si="33"/>
        <v>0</v>
      </c>
      <c r="AW21">
        <f t="shared" si="2"/>
        <v>0</v>
      </c>
      <c r="AX21">
        <f t="shared" si="3"/>
        <v>0</v>
      </c>
      <c r="AY21">
        <f t="shared" si="34"/>
        <v>0</v>
      </c>
      <c r="AZ21">
        <f t="shared" si="35"/>
        <v>0</v>
      </c>
    </row>
    <row r="22" spans="1:52" ht="15" customHeight="1">
      <c r="A22" s="48"/>
      <c r="B22" s="80"/>
      <c r="C22" s="49"/>
      <c r="D22" s="49"/>
      <c r="E22" s="48"/>
      <c r="F22" s="48"/>
      <c r="G22" s="50"/>
      <c r="H22" s="56" t="str">
        <f>VLOOKUP(G:G,A62:B87,2,FALSE)</f>
        <v> </v>
      </c>
      <c r="I22" s="76"/>
      <c r="J22" s="76"/>
      <c r="K22" s="76"/>
      <c r="L22" s="31">
        <f t="shared" si="0"/>
        <v>0</v>
      </c>
      <c r="M22" s="76"/>
      <c r="N22" s="277"/>
      <c r="P22" s="30">
        <f t="shared" si="4"/>
        <v>0</v>
      </c>
      <c r="Q22" s="30">
        <f t="shared" si="5"/>
        <v>0</v>
      </c>
      <c r="R22" s="30">
        <f t="shared" si="6"/>
        <v>0</v>
      </c>
      <c r="S22" s="30">
        <f t="shared" si="7"/>
        <v>0</v>
      </c>
      <c r="T22" s="30">
        <f t="shared" si="8"/>
        <v>0</v>
      </c>
      <c r="U22" s="30">
        <f t="shared" si="9"/>
        <v>0</v>
      </c>
      <c r="V22" s="30">
        <f t="shared" si="10"/>
        <v>0</v>
      </c>
      <c r="W22" s="30">
        <f t="shared" si="11"/>
        <v>0</v>
      </c>
      <c r="X22" s="30">
        <f t="shared" si="12"/>
        <v>0</v>
      </c>
      <c r="Y22" s="30">
        <f t="shared" si="13"/>
        <v>0</v>
      </c>
      <c r="Z22" s="30">
        <f t="shared" si="14"/>
        <v>0</v>
      </c>
      <c r="AA22" s="30">
        <f t="shared" si="15"/>
        <v>0</v>
      </c>
      <c r="AB22" s="30">
        <f t="shared" si="16"/>
        <v>0</v>
      </c>
      <c r="AC22" s="30">
        <f t="shared" si="17"/>
        <v>0</v>
      </c>
      <c r="AE22">
        <f t="shared" si="18"/>
        <v>0</v>
      </c>
      <c r="AF22">
        <f t="shared" si="19"/>
        <v>0</v>
      </c>
      <c r="AG22">
        <f t="shared" si="20"/>
        <v>0</v>
      </c>
      <c r="AH22">
        <f t="shared" si="21"/>
        <v>0</v>
      </c>
      <c r="AI22">
        <f t="shared" si="1"/>
        <v>0</v>
      </c>
      <c r="AJ22">
        <f t="shared" si="22"/>
        <v>0</v>
      </c>
      <c r="AK22">
        <f t="shared" si="23"/>
        <v>0</v>
      </c>
      <c r="AL22">
        <f t="shared" si="24"/>
        <v>0</v>
      </c>
      <c r="AM22">
        <f t="shared" si="25"/>
        <v>0</v>
      </c>
      <c r="AN22">
        <f t="shared" si="36"/>
        <v>0</v>
      </c>
      <c r="AO22">
        <f t="shared" si="37"/>
        <v>0</v>
      </c>
      <c r="AQ22">
        <f t="shared" si="28"/>
        <v>0</v>
      </c>
      <c r="AR22">
        <f t="shared" si="29"/>
        <v>0</v>
      </c>
      <c r="AS22">
        <f t="shared" si="30"/>
        <v>0</v>
      </c>
      <c r="AT22">
        <f t="shared" si="31"/>
        <v>0</v>
      </c>
      <c r="AU22">
        <f t="shared" si="32"/>
        <v>0</v>
      </c>
      <c r="AV22">
        <f t="shared" si="33"/>
        <v>0</v>
      </c>
      <c r="AW22">
        <f t="shared" si="2"/>
        <v>0</v>
      </c>
      <c r="AX22">
        <f t="shared" si="3"/>
        <v>0</v>
      </c>
      <c r="AY22">
        <f t="shared" si="34"/>
        <v>0</v>
      </c>
      <c r="AZ22">
        <f t="shared" si="35"/>
        <v>0</v>
      </c>
    </row>
    <row r="23" spans="1:52" ht="15" customHeight="1">
      <c r="A23" s="48"/>
      <c r="B23" s="80"/>
      <c r="C23" s="49"/>
      <c r="D23" s="49"/>
      <c r="E23" s="48"/>
      <c r="F23" s="48"/>
      <c r="G23" s="50"/>
      <c r="H23" s="56" t="str">
        <f>VLOOKUP(G:G,A62:B87,2,FALSE)</f>
        <v> </v>
      </c>
      <c r="I23" s="76"/>
      <c r="J23" s="76"/>
      <c r="K23" s="76"/>
      <c r="L23" s="31">
        <f t="shared" si="0"/>
        <v>0</v>
      </c>
      <c r="M23" s="76"/>
      <c r="N23" s="277"/>
      <c r="P23" s="30">
        <f t="shared" si="4"/>
        <v>0</v>
      </c>
      <c r="Q23" s="30">
        <f t="shared" si="5"/>
        <v>0</v>
      </c>
      <c r="R23" s="30">
        <f t="shared" si="6"/>
        <v>0</v>
      </c>
      <c r="S23" s="30">
        <f t="shared" si="7"/>
        <v>0</v>
      </c>
      <c r="T23" s="30">
        <f t="shared" si="8"/>
        <v>0</v>
      </c>
      <c r="U23" s="30">
        <f t="shared" si="9"/>
        <v>0</v>
      </c>
      <c r="V23" s="30">
        <f t="shared" si="10"/>
        <v>0</v>
      </c>
      <c r="W23" s="30">
        <f t="shared" si="11"/>
        <v>0</v>
      </c>
      <c r="X23" s="30">
        <f t="shared" si="12"/>
        <v>0</v>
      </c>
      <c r="Y23" s="30">
        <f t="shared" si="13"/>
        <v>0</v>
      </c>
      <c r="Z23" s="30">
        <f t="shared" si="14"/>
        <v>0</v>
      </c>
      <c r="AA23" s="30">
        <f t="shared" si="15"/>
        <v>0</v>
      </c>
      <c r="AB23" s="30">
        <f t="shared" si="16"/>
        <v>0</v>
      </c>
      <c r="AC23" s="30">
        <f t="shared" si="17"/>
        <v>0</v>
      </c>
      <c r="AE23">
        <f t="shared" si="18"/>
        <v>0</v>
      </c>
      <c r="AF23">
        <f t="shared" si="19"/>
        <v>0</v>
      </c>
      <c r="AG23">
        <f t="shared" si="20"/>
        <v>0</v>
      </c>
      <c r="AH23">
        <f t="shared" si="21"/>
        <v>0</v>
      </c>
      <c r="AI23">
        <f t="shared" si="1"/>
        <v>0</v>
      </c>
      <c r="AJ23">
        <f t="shared" si="22"/>
        <v>0</v>
      </c>
      <c r="AK23">
        <f t="shared" si="23"/>
        <v>0</v>
      </c>
      <c r="AL23">
        <f t="shared" si="24"/>
        <v>0</v>
      </c>
      <c r="AM23">
        <f t="shared" si="25"/>
        <v>0</v>
      </c>
      <c r="AN23">
        <f t="shared" si="36"/>
        <v>0</v>
      </c>
      <c r="AO23">
        <f t="shared" si="37"/>
        <v>0</v>
      </c>
      <c r="AQ23">
        <f t="shared" si="28"/>
        <v>0</v>
      </c>
      <c r="AR23">
        <f t="shared" si="29"/>
        <v>0</v>
      </c>
      <c r="AS23">
        <f t="shared" si="30"/>
        <v>0</v>
      </c>
      <c r="AT23">
        <f t="shared" si="31"/>
        <v>0</v>
      </c>
      <c r="AU23">
        <f t="shared" si="32"/>
        <v>0</v>
      </c>
      <c r="AV23">
        <f t="shared" si="33"/>
        <v>0</v>
      </c>
      <c r="AW23">
        <f t="shared" si="2"/>
        <v>0</v>
      </c>
      <c r="AX23">
        <f t="shared" si="3"/>
        <v>0</v>
      </c>
      <c r="AY23">
        <f t="shared" si="34"/>
        <v>0</v>
      </c>
      <c r="AZ23">
        <f t="shared" si="35"/>
        <v>0</v>
      </c>
    </row>
    <row r="24" spans="1:52" ht="15" customHeight="1">
      <c r="A24" s="48"/>
      <c r="B24" s="80"/>
      <c r="C24" s="49"/>
      <c r="D24" s="49"/>
      <c r="E24" s="48"/>
      <c r="F24" s="48"/>
      <c r="G24" s="50"/>
      <c r="H24" s="56" t="str">
        <f>VLOOKUP(G:G,A62:B87,2,FALSE)</f>
        <v> </v>
      </c>
      <c r="I24" s="76"/>
      <c r="J24" s="76"/>
      <c r="K24" s="76"/>
      <c r="L24" s="31">
        <f t="shared" si="0"/>
        <v>0</v>
      </c>
      <c r="M24" s="76"/>
      <c r="N24" s="277"/>
      <c r="P24" s="30">
        <f t="shared" si="4"/>
        <v>0</v>
      </c>
      <c r="Q24" s="30">
        <f t="shared" si="5"/>
        <v>0</v>
      </c>
      <c r="R24" s="30">
        <f t="shared" si="6"/>
        <v>0</v>
      </c>
      <c r="S24" s="30">
        <f t="shared" si="7"/>
        <v>0</v>
      </c>
      <c r="T24" s="30">
        <f t="shared" si="8"/>
        <v>0</v>
      </c>
      <c r="U24" s="30">
        <f t="shared" si="9"/>
        <v>0</v>
      </c>
      <c r="V24" s="30">
        <f t="shared" si="10"/>
        <v>0</v>
      </c>
      <c r="W24" s="30">
        <f t="shared" si="11"/>
        <v>0</v>
      </c>
      <c r="X24" s="30">
        <f t="shared" si="12"/>
        <v>0</v>
      </c>
      <c r="Y24" s="30">
        <f t="shared" si="13"/>
        <v>0</v>
      </c>
      <c r="Z24" s="30">
        <f t="shared" si="14"/>
        <v>0</v>
      </c>
      <c r="AA24" s="30">
        <f t="shared" si="15"/>
        <v>0</v>
      </c>
      <c r="AB24" s="30">
        <f t="shared" si="16"/>
        <v>0</v>
      </c>
      <c r="AC24" s="30">
        <f t="shared" si="17"/>
        <v>0</v>
      </c>
      <c r="AE24">
        <f t="shared" si="18"/>
        <v>0</v>
      </c>
      <c r="AF24">
        <f t="shared" si="19"/>
        <v>0</v>
      </c>
      <c r="AG24">
        <f t="shared" si="20"/>
        <v>0</v>
      </c>
      <c r="AH24">
        <f t="shared" si="21"/>
        <v>0</v>
      </c>
      <c r="AI24">
        <f t="shared" si="1"/>
        <v>0</v>
      </c>
      <c r="AJ24">
        <f t="shared" si="22"/>
        <v>0</v>
      </c>
      <c r="AK24">
        <f t="shared" si="23"/>
        <v>0</v>
      </c>
      <c r="AL24">
        <f t="shared" si="24"/>
        <v>0</v>
      </c>
      <c r="AM24">
        <f t="shared" si="25"/>
        <v>0</v>
      </c>
      <c r="AN24">
        <f t="shared" si="36"/>
        <v>0</v>
      </c>
      <c r="AO24">
        <f t="shared" si="37"/>
        <v>0</v>
      </c>
      <c r="AQ24">
        <f t="shared" si="28"/>
        <v>0</v>
      </c>
      <c r="AR24">
        <f t="shared" si="29"/>
        <v>0</v>
      </c>
      <c r="AS24">
        <f t="shared" si="30"/>
        <v>0</v>
      </c>
      <c r="AT24">
        <f t="shared" si="31"/>
        <v>0</v>
      </c>
      <c r="AU24">
        <f t="shared" si="32"/>
        <v>0</v>
      </c>
      <c r="AV24">
        <f t="shared" si="33"/>
        <v>0</v>
      </c>
      <c r="AW24">
        <f t="shared" si="2"/>
        <v>0</v>
      </c>
      <c r="AX24">
        <f t="shared" si="3"/>
        <v>0</v>
      </c>
      <c r="AY24">
        <f t="shared" si="34"/>
        <v>0</v>
      </c>
      <c r="AZ24">
        <f t="shared" si="35"/>
        <v>0</v>
      </c>
    </row>
    <row r="25" spans="1:52" ht="15" customHeight="1">
      <c r="A25" s="48"/>
      <c r="B25" s="80"/>
      <c r="C25" s="49"/>
      <c r="D25" s="49"/>
      <c r="E25" s="48"/>
      <c r="F25" s="48"/>
      <c r="G25" s="50"/>
      <c r="H25" s="56" t="str">
        <f>VLOOKUP(G:G,A62:B87,2,FALSE)</f>
        <v> </v>
      </c>
      <c r="I25" s="76"/>
      <c r="J25" s="76"/>
      <c r="K25" s="76"/>
      <c r="L25" s="31">
        <f t="shared" si="0"/>
        <v>0</v>
      </c>
      <c r="M25" s="76"/>
      <c r="N25" s="277"/>
      <c r="P25" s="30">
        <f t="shared" si="4"/>
        <v>0</v>
      </c>
      <c r="Q25" s="30">
        <f t="shared" si="5"/>
        <v>0</v>
      </c>
      <c r="R25" s="30">
        <f t="shared" si="6"/>
        <v>0</v>
      </c>
      <c r="S25" s="30">
        <f t="shared" si="7"/>
        <v>0</v>
      </c>
      <c r="T25" s="30">
        <f t="shared" si="8"/>
        <v>0</v>
      </c>
      <c r="U25" s="30">
        <f t="shared" si="9"/>
        <v>0</v>
      </c>
      <c r="V25" s="30">
        <f t="shared" si="10"/>
        <v>0</v>
      </c>
      <c r="W25" s="30">
        <f t="shared" si="11"/>
        <v>0</v>
      </c>
      <c r="X25" s="30">
        <f t="shared" si="12"/>
        <v>0</v>
      </c>
      <c r="Y25" s="30">
        <f t="shared" si="13"/>
        <v>0</v>
      </c>
      <c r="Z25" s="30">
        <f t="shared" si="14"/>
        <v>0</v>
      </c>
      <c r="AA25" s="30">
        <f t="shared" si="15"/>
        <v>0</v>
      </c>
      <c r="AB25" s="30">
        <f t="shared" si="16"/>
        <v>0</v>
      </c>
      <c r="AC25" s="30">
        <f t="shared" si="17"/>
        <v>0</v>
      </c>
      <c r="AE25">
        <f t="shared" si="18"/>
        <v>0</v>
      </c>
      <c r="AF25">
        <f t="shared" si="19"/>
        <v>0</v>
      </c>
      <c r="AG25">
        <f t="shared" si="20"/>
        <v>0</v>
      </c>
      <c r="AH25">
        <f t="shared" si="21"/>
        <v>0</v>
      </c>
      <c r="AI25">
        <f t="shared" si="1"/>
        <v>0</v>
      </c>
      <c r="AJ25">
        <f t="shared" si="22"/>
        <v>0</v>
      </c>
      <c r="AK25">
        <f t="shared" si="23"/>
        <v>0</v>
      </c>
      <c r="AL25">
        <f t="shared" si="24"/>
        <v>0</v>
      </c>
      <c r="AM25">
        <f t="shared" si="25"/>
        <v>0</v>
      </c>
      <c r="AN25">
        <f t="shared" si="36"/>
        <v>0</v>
      </c>
      <c r="AO25">
        <f t="shared" si="37"/>
        <v>0</v>
      </c>
      <c r="AQ25">
        <f t="shared" si="28"/>
        <v>0</v>
      </c>
      <c r="AR25">
        <f t="shared" si="29"/>
        <v>0</v>
      </c>
      <c r="AS25">
        <f t="shared" si="30"/>
        <v>0</v>
      </c>
      <c r="AT25">
        <f t="shared" si="31"/>
        <v>0</v>
      </c>
      <c r="AU25">
        <f t="shared" si="32"/>
        <v>0</v>
      </c>
      <c r="AV25">
        <f t="shared" si="33"/>
        <v>0</v>
      </c>
      <c r="AW25">
        <f t="shared" si="2"/>
        <v>0</v>
      </c>
      <c r="AX25">
        <f t="shared" si="3"/>
        <v>0</v>
      </c>
      <c r="AY25">
        <f t="shared" si="34"/>
        <v>0</v>
      </c>
      <c r="AZ25">
        <f t="shared" si="35"/>
        <v>0</v>
      </c>
    </row>
    <row r="26" spans="1:52" ht="15" customHeight="1">
      <c r="A26" s="48"/>
      <c r="B26" s="80"/>
      <c r="C26" s="49"/>
      <c r="D26" s="49"/>
      <c r="E26" s="48"/>
      <c r="F26" s="48"/>
      <c r="G26" s="50"/>
      <c r="H26" s="56" t="str">
        <f>VLOOKUP(G:G,A62:B87,2,FALSE)</f>
        <v> </v>
      </c>
      <c r="I26" s="76"/>
      <c r="J26" s="76"/>
      <c r="K26" s="76"/>
      <c r="L26" s="31">
        <f t="shared" si="0"/>
        <v>0</v>
      </c>
      <c r="M26" s="76"/>
      <c r="N26" s="277"/>
      <c r="P26" s="30">
        <f t="shared" si="4"/>
        <v>0</v>
      </c>
      <c r="Q26" s="30">
        <f t="shared" si="5"/>
        <v>0</v>
      </c>
      <c r="R26" s="30">
        <f t="shared" si="6"/>
        <v>0</v>
      </c>
      <c r="S26" s="30">
        <f t="shared" si="7"/>
        <v>0</v>
      </c>
      <c r="T26" s="30">
        <f t="shared" si="8"/>
        <v>0</v>
      </c>
      <c r="U26" s="30">
        <f t="shared" si="9"/>
        <v>0</v>
      </c>
      <c r="V26" s="30">
        <f t="shared" si="10"/>
        <v>0</v>
      </c>
      <c r="W26" s="30">
        <f t="shared" si="11"/>
        <v>0</v>
      </c>
      <c r="X26" s="30">
        <f t="shared" si="12"/>
        <v>0</v>
      </c>
      <c r="Y26" s="30">
        <f t="shared" si="13"/>
        <v>0</v>
      </c>
      <c r="Z26" s="30">
        <f t="shared" si="14"/>
        <v>0</v>
      </c>
      <c r="AA26" s="30">
        <f t="shared" si="15"/>
        <v>0</v>
      </c>
      <c r="AB26" s="30">
        <f t="shared" si="16"/>
        <v>0</v>
      </c>
      <c r="AC26" s="30">
        <f t="shared" si="17"/>
        <v>0</v>
      </c>
      <c r="AE26">
        <f t="shared" si="18"/>
        <v>0</v>
      </c>
      <c r="AF26">
        <f t="shared" si="19"/>
        <v>0</v>
      </c>
      <c r="AG26">
        <f t="shared" si="20"/>
        <v>0</v>
      </c>
      <c r="AH26">
        <f t="shared" si="21"/>
        <v>0</v>
      </c>
      <c r="AI26">
        <f t="shared" si="1"/>
        <v>0</v>
      </c>
      <c r="AJ26">
        <f t="shared" si="22"/>
        <v>0</v>
      </c>
      <c r="AK26">
        <f t="shared" si="23"/>
        <v>0</v>
      </c>
      <c r="AL26">
        <f t="shared" si="24"/>
        <v>0</v>
      </c>
      <c r="AM26">
        <f t="shared" si="25"/>
        <v>0</v>
      </c>
      <c r="AN26">
        <f t="shared" si="36"/>
        <v>0</v>
      </c>
      <c r="AO26">
        <f t="shared" si="37"/>
        <v>0</v>
      </c>
      <c r="AQ26">
        <f t="shared" si="28"/>
        <v>0</v>
      </c>
      <c r="AR26">
        <f t="shared" si="29"/>
        <v>0</v>
      </c>
      <c r="AS26">
        <f t="shared" si="30"/>
        <v>0</v>
      </c>
      <c r="AT26">
        <f t="shared" si="31"/>
        <v>0</v>
      </c>
      <c r="AU26">
        <f t="shared" si="32"/>
        <v>0</v>
      </c>
      <c r="AV26">
        <f t="shared" si="33"/>
        <v>0</v>
      </c>
      <c r="AW26">
        <f t="shared" si="2"/>
        <v>0</v>
      </c>
      <c r="AX26">
        <f t="shared" si="3"/>
        <v>0</v>
      </c>
      <c r="AY26">
        <f t="shared" si="34"/>
        <v>0</v>
      </c>
      <c r="AZ26">
        <f t="shared" si="35"/>
        <v>0</v>
      </c>
    </row>
    <row r="27" spans="1:52" ht="15" customHeight="1">
      <c r="A27" s="48"/>
      <c r="B27" s="80"/>
      <c r="C27" s="49"/>
      <c r="D27" s="49"/>
      <c r="E27" s="48"/>
      <c r="F27" s="48"/>
      <c r="G27" s="50"/>
      <c r="H27" s="56" t="str">
        <f>VLOOKUP(G:G,A62:B87,2,FALSE)</f>
        <v> </v>
      </c>
      <c r="I27" s="76"/>
      <c r="J27" s="76"/>
      <c r="K27" s="76"/>
      <c r="L27" s="31">
        <f t="shared" si="0"/>
        <v>0</v>
      </c>
      <c r="M27" s="76"/>
      <c r="N27" s="277"/>
      <c r="P27" s="30">
        <f t="shared" si="4"/>
        <v>0</v>
      </c>
      <c r="Q27" s="30">
        <f t="shared" si="5"/>
        <v>0</v>
      </c>
      <c r="R27" s="30">
        <f t="shared" si="6"/>
        <v>0</v>
      </c>
      <c r="S27" s="30">
        <f t="shared" si="7"/>
        <v>0</v>
      </c>
      <c r="T27" s="30">
        <f t="shared" si="8"/>
        <v>0</v>
      </c>
      <c r="U27" s="30">
        <f t="shared" si="9"/>
        <v>0</v>
      </c>
      <c r="V27" s="30">
        <f t="shared" si="10"/>
        <v>0</v>
      </c>
      <c r="W27" s="30">
        <f t="shared" si="11"/>
        <v>0</v>
      </c>
      <c r="X27" s="30">
        <f t="shared" si="12"/>
        <v>0</v>
      </c>
      <c r="Y27" s="30">
        <f t="shared" si="13"/>
        <v>0</v>
      </c>
      <c r="Z27" s="30">
        <f t="shared" si="14"/>
        <v>0</v>
      </c>
      <c r="AA27" s="30">
        <f t="shared" si="15"/>
        <v>0</v>
      </c>
      <c r="AB27" s="30">
        <f t="shared" si="16"/>
        <v>0</v>
      </c>
      <c r="AC27" s="30">
        <f t="shared" si="17"/>
        <v>0</v>
      </c>
      <c r="AE27">
        <f t="shared" si="18"/>
        <v>0</v>
      </c>
      <c r="AF27">
        <f t="shared" si="19"/>
        <v>0</v>
      </c>
      <c r="AG27">
        <f t="shared" si="20"/>
        <v>0</v>
      </c>
      <c r="AH27">
        <f t="shared" si="21"/>
        <v>0</v>
      </c>
      <c r="AI27">
        <f t="shared" si="1"/>
        <v>0</v>
      </c>
      <c r="AJ27">
        <f t="shared" si="22"/>
        <v>0</v>
      </c>
      <c r="AK27">
        <f t="shared" si="23"/>
        <v>0</v>
      </c>
      <c r="AL27">
        <f t="shared" si="24"/>
        <v>0</v>
      </c>
      <c r="AM27">
        <f t="shared" si="25"/>
        <v>0</v>
      </c>
      <c r="AN27">
        <f t="shared" si="36"/>
        <v>0</v>
      </c>
      <c r="AO27">
        <f t="shared" si="37"/>
        <v>0</v>
      </c>
      <c r="AQ27">
        <f t="shared" si="28"/>
        <v>0</v>
      </c>
      <c r="AR27">
        <f t="shared" si="29"/>
        <v>0</v>
      </c>
      <c r="AS27">
        <f t="shared" si="30"/>
        <v>0</v>
      </c>
      <c r="AT27">
        <f t="shared" si="31"/>
        <v>0</v>
      </c>
      <c r="AU27">
        <f t="shared" si="32"/>
        <v>0</v>
      </c>
      <c r="AV27">
        <f t="shared" si="33"/>
        <v>0</v>
      </c>
      <c r="AW27">
        <f t="shared" si="2"/>
        <v>0</v>
      </c>
      <c r="AX27">
        <f t="shared" si="3"/>
        <v>0</v>
      </c>
      <c r="AY27">
        <f t="shared" si="34"/>
        <v>0</v>
      </c>
      <c r="AZ27">
        <f t="shared" si="35"/>
        <v>0</v>
      </c>
    </row>
    <row r="28" spans="1:52" ht="15" customHeight="1">
      <c r="A28" s="48"/>
      <c r="B28" s="80"/>
      <c r="C28" s="49"/>
      <c r="D28" s="49"/>
      <c r="E28" s="48"/>
      <c r="F28" s="48"/>
      <c r="G28" s="50"/>
      <c r="H28" s="56" t="str">
        <f>VLOOKUP(G:G,A62:B87,2,FALSE)</f>
        <v> </v>
      </c>
      <c r="I28" s="76"/>
      <c r="J28" s="76"/>
      <c r="K28" s="76"/>
      <c r="L28" s="31">
        <f t="shared" si="0"/>
        <v>0</v>
      </c>
      <c r="M28" s="76"/>
      <c r="N28" s="277"/>
      <c r="P28" s="30">
        <f t="shared" si="4"/>
        <v>0</v>
      </c>
      <c r="Q28" s="30">
        <f t="shared" si="5"/>
        <v>0</v>
      </c>
      <c r="R28" s="30">
        <f t="shared" si="6"/>
        <v>0</v>
      </c>
      <c r="S28" s="30">
        <f t="shared" si="7"/>
        <v>0</v>
      </c>
      <c r="T28" s="30">
        <f t="shared" si="8"/>
        <v>0</v>
      </c>
      <c r="U28" s="30">
        <f t="shared" si="9"/>
        <v>0</v>
      </c>
      <c r="V28" s="30">
        <f t="shared" si="10"/>
        <v>0</v>
      </c>
      <c r="W28" s="30">
        <f t="shared" si="11"/>
        <v>0</v>
      </c>
      <c r="X28" s="30">
        <f t="shared" si="12"/>
        <v>0</v>
      </c>
      <c r="Y28" s="30">
        <f t="shared" si="13"/>
        <v>0</v>
      </c>
      <c r="Z28" s="30">
        <f t="shared" si="14"/>
        <v>0</v>
      </c>
      <c r="AA28" s="30">
        <f t="shared" si="15"/>
        <v>0</v>
      </c>
      <c r="AB28" s="30">
        <f t="shared" si="16"/>
        <v>0</v>
      </c>
      <c r="AC28" s="30">
        <f t="shared" si="17"/>
        <v>0</v>
      </c>
      <c r="AE28">
        <f t="shared" si="18"/>
        <v>0</v>
      </c>
      <c r="AF28">
        <f t="shared" si="19"/>
        <v>0</v>
      </c>
      <c r="AG28">
        <f t="shared" si="20"/>
        <v>0</v>
      </c>
      <c r="AH28">
        <f t="shared" si="21"/>
        <v>0</v>
      </c>
      <c r="AI28">
        <f t="shared" si="1"/>
        <v>0</v>
      </c>
      <c r="AJ28">
        <f t="shared" si="22"/>
        <v>0</v>
      </c>
      <c r="AK28">
        <f t="shared" si="23"/>
        <v>0</v>
      </c>
      <c r="AL28">
        <f t="shared" si="24"/>
        <v>0</v>
      </c>
      <c r="AM28">
        <f t="shared" si="25"/>
        <v>0</v>
      </c>
      <c r="AN28">
        <f t="shared" si="36"/>
        <v>0</v>
      </c>
      <c r="AO28">
        <f t="shared" si="37"/>
        <v>0</v>
      </c>
      <c r="AQ28">
        <f t="shared" si="28"/>
        <v>0</v>
      </c>
      <c r="AR28">
        <f t="shared" si="29"/>
        <v>0</v>
      </c>
      <c r="AS28">
        <f t="shared" si="30"/>
        <v>0</v>
      </c>
      <c r="AT28">
        <f t="shared" si="31"/>
        <v>0</v>
      </c>
      <c r="AU28">
        <f t="shared" si="32"/>
        <v>0</v>
      </c>
      <c r="AV28">
        <f t="shared" si="33"/>
        <v>0</v>
      </c>
      <c r="AW28">
        <f t="shared" si="2"/>
        <v>0</v>
      </c>
      <c r="AX28">
        <f t="shared" si="3"/>
        <v>0</v>
      </c>
      <c r="AY28">
        <f t="shared" si="34"/>
        <v>0</v>
      </c>
      <c r="AZ28">
        <f t="shared" si="35"/>
        <v>0</v>
      </c>
    </row>
    <row r="29" spans="1:52" ht="15" customHeight="1">
      <c r="A29" s="48"/>
      <c r="B29" s="80"/>
      <c r="C29" s="49"/>
      <c r="D29" s="49"/>
      <c r="E29" s="48"/>
      <c r="F29" s="48"/>
      <c r="G29" s="50"/>
      <c r="H29" s="56" t="str">
        <f>VLOOKUP(G:G,A62:B87,2,FALSE)</f>
        <v> </v>
      </c>
      <c r="I29" s="76"/>
      <c r="J29" s="76"/>
      <c r="K29" s="76"/>
      <c r="L29" s="31">
        <f t="shared" si="0"/>
        <v>0</v>
      </c>
      <c r="M29" s="76"/>
      <c r="N29" s="277"/>
      <c r="P29" s="30">
        <f t="shared" si="4"/>
        <v>0</v>
      </c>
      <c r="Q29" s="30">
        <f t="shared" si="5"/>
        <v>0</v>
      </c>
      <c r="R29" s="30">
        <f t="shared" si="6"/>
        <v>0</v>
      </c>
      <c r="S29" s="30">
        <f t="shared" si="7"/>
        <v>0</v>
      </c>
      <c r="T29" s="30">
        <f t="shared" si="8"/>
        <v>0</v>
      </c>
      <c r="U29" s="30">
        <f t="shared" si="9"/>
        <v>0</v>
      </c>
      <c r="V29" s="30">
        <f t="shared" si="10"/>
        <v>0</v>
      </c>
      <c r="W29" s="30">
        <f t="shared" si="11"/>
        <v>0</v>
      </c>
      <c r="X29" s="30">
        <f t="shared" si="12"/>
        <v>0</v>
      </c>
      <c r="Y29" s="30">
        <f t="shared" si="13"/>
        <v>0</v>
      </c>
      <c r="Z29" s="30">
        <f t="shared" si="14"/>
        <v>0</v>
      </c>
      <c r="AA29" s="30">
        <f t="shared" si="15"/>
        <v>0</v>
      </c>
      <c r="AB29" s="30">
        <f t="shared" si="16"/>
        <v>0</v>
      </c>
      <c r="AC29" s="30">
        <f t="shared" si="17"/>
        <v>0</v>
      </c>
      <c r="AE29">
        <f t="shared" si="18"/>
        <v>0</v>
      </c>
      <c r="AF29">
        <f t="shared" si="19"/>
        <v>0</v>
      </c>
      <c r="AG29">
        <f t="shared" si="20"/>
        <v>0</v>
      </c>
      <c r="AH29">
        <f t="shared" si="21"/>
        <v>0</v>
      </c>
      <c r="AI29">
        <f t="shared" si="1"/>
        <v>0</v>
      </c>
      <c r="AJ29">
        <f t="shared" si="22"/>
        <v>0</v>
      </c>
      <c r="AK29">
        <f t="shared" si="23"/>
        <v>0</v>
      </c>
      <c r="AL29">
        <f t="shared" si="24"/>
        <v>0</v>
      </c>
      <c r="AM29">
        <f t="shared" si="25"/>
        <v>0</v>
      </c>
      <c r="AN29">
        <f t="shared" si="36"/>
        <v>0</v>
      </c>
      <c r="AO29">
        <f t="shared" si="37"/>
        <v>0</v>
      </c>
      <c r="AQ29">
        <f t="shared" si="28"/>
        <v>0</v>
      </c>
      <c r="AR29">
        <f t="shared" si="29"/>
        <v>0</v>
      </c>
      <c r="AS29">
        <f t="shared" si="30"/>
        <v>0</v>
      </c>
      <c r="AT29">
        <f t="shared" si="31"/>
        <v>0</v>
      </c>
      <c r="AU29">
        <f t="shared" si="32"/>
        <v>0</v>
      </c>
      <c r="AV29">
        <f t="shared" si="33"/>
        <v>0</v>
      </c>
      <c r="AW29">
        <f t="shared" si="2"/>
        <v>0</v>
      </c>
      <c r="AX29">
        <f t="shared" si="3"/>
        <v>0</v>
      </c>
      <c r="AY29">
        <f t="shared" si="34"/>
        <v>0</v>
      </c>
      <c r="AZ29">
        <f t="shared" si="35"/>
        <v>0</v>
      </c>
    </row>
    <row r="30" spans="1:52" ht="15" customHeight="1">
      <c r="A30" s="48"/>
      <c r="B30" s="80"/>
      <c r="C30" s="49"/>
      <c r="D30" s="49"/>
      <c r="E30" s="48"/>
      <c r="F30" s="48"/>
      <c r="G30" s="50"/>
      <c r="H30" s="56" t="str">
        <f>VLOOKUP(G:G,A62:B87,2,FALSE)</f>
        <v> </v>
      </c>
      <c r="I30" s="76"/>
      <c r="J30" s="76"/>
      <c r="K30" s="76"/>
      <c r="L30" s="31">
        <f t="shared" si="0"/>
        <v>0</v>
      </c>
      <c r="M30" s="76"/>
      <c r="N30" s="277"/>
      <c r="P30" s="30">
        <f t="shared" si="4"/>
        <v>0</v>
      </c>
      <c r="Q30" s="30">
        <f t="shared" si="5"/>
        <v>0</v>
      </c>
      <c r="R30" s="30">
        <f t="shared" si="6"/>
        <v>0</v>
      </c>
      <c r="S30" s="30">
        <f t="shared" si="7"/>
        <v>0</v>
      </c>
      <c r="T30" s="30">
        <f t="shared" si="8"/>
        <v>0</v>
      </c>
      <c r="U30" s="30">
        <f t="shared" si="9"/>
        <v>0</v>
      </c>
      <c r="V30" s="30">
        <f t="shared" si="10"/>
        <v>0</v>
      </c>
      <c r="W30" s="30">
        <f t="shared" si="11"/>
        <v>0</v>
      </c>
      <c r="X30" s="30">
        <f t="shared" si="12"/>
        <v>0</v>
      </c>
      <c r="Y30" s="30">
        <f t="shared" si="13"/>
        <v>0</v>
      </c>
      <c r="Z30" s="30">
        <f t="shared" si="14"/>
        <v>0</v>
      </c>
      <c r="AA30" s="30">
        <f t="shared" si="15"/>
        <v>0</v>
      </c>
      <c r="AB30" s="30">
        <f t="shared" si="16"/>
        <v>0</v>
      </c>
      <c r="AC30" s="30">
        <f t="shared" si="17"/>
        <v>0</v>
      </c>
      <c r="AE30">
        <f t="shared" si="18"/>
        <v>0</v>
      </c>
      <c r="AF30">
        <f t="shared" si="19"/>
        <v>0</v>
      </c>
      <c r="AG30">
        <f t="shared" si="20"/>
        <v>0</v>
      </c>
      <c r="AH30">
        <f t="shared" si="21"/>
        <v>0</v>
      </c>
      <c r="AI30">
        <f t="shared" si="1"/>
        <v>0</v>
      </c>
      <c r="AJ30">
        <f t="shared" si="22"/>
        <v>0</v>
      </c>
      <c r="AK30">
        <f t="shared" si="23"/>
        <v>0</v>
      </c>
      <c r="AL30">
        <f t="shared" si="24"/>
        <v>0</v>
      </c>
      <c r="AM30">
        <f t="shared" si="25"/>
        <v>0</v>
      </c>
      <c r="AN30">
        <f t="shared" si="36"/>
        <v>0</v>
      </c>
      <c r="AO30">
        <f t="shared" si="37"/>
        <v>0</v>
      </c>
      <c r="AQ30">
        <f t="shared" si="28"/>
        <v>0</v>
      </c>
      <c r="AR30">
        <f t="shared" si="29"/>
        <v>0</v>
      </c>
      <c r="AS30">
        <f t="shared" si="30"/>
        <v>0</v>
      </c>
      <c r="AT30">
        <f t="shared" si="31"/>
        <v>0</v>
      </c>
      <c r="AU30">
        <f t="shared" si="32"/>
        <v>0</v>
      </c>
      <c r="AV30">
        <f t="shared" si="33"/>
        <v>0</v>
      </c>
      <c r="AW30">
        <f t="shared" si="2"/>
        <v>0</v>
      </c>
      <c r="AX30">
        <f t="shared" si="3"/>
        <v>0</v>
      </c>
      <c r="AY30">
        <f t="shared" si="34"/>
        <v>0</v>
      </c>
      <c r="AZ30">
        <f t="shared" si="35"/>
        <v>0</v>
      </c>
    </row>
    <row r="31" spans="1:52" ht="15" customHeight="1">
      <c r="A31" s="48"/>
      <c r="B31" s="80"/>
      <c r="C31" s="49"/>
      <c r="D31" s="49"/>
      <c r="E31" s="48"/>
      <c r="F31" s="48"/>
      <c r="G31" s="50"/>
      <c r="H31" s="56" t="str">
        <f>VLOOKUP(G:G,A62:B87,2,FALSE)</f>
        <v> </v>
      </c>
      <c r="I31" s="76"/>
      <c r="J31" s="76"/>
      <c r="K31" s="76"/>
      <c r="L31" s="31">
        <f t="shared" si="0"/>
        <v>0</v>
      </c>
      <c r="M31" s="76"/>
      <c r="N31" s="277"/>
      <c r="P31" s="30">
        <f t="shared" si="4"/>
        <v>0</v>
      </c>
      <c r="Q31" s="30">
        <f t="shared" si="5"/>
        <v>0</v>
      </c>
      <c r="R31" s="30">
        <f t="shared" si="6"/>
        <v>0</v>
      </c>
      <c r="S31" s="30">
        <f t="shared" si="7"/>
        <v>0</v>
      </c>
      <c r="T31" s="30">
        <f t="shared" si="8"/>
        <v>0</v>
      </c>
      <c r="U31" s="30">
        <f t="shared" si="9"/>
        <v>0</v>
      </c>
      <c r="V31" s="30">
        <f t="shared" si="10"/>
        <v>0</v>
      </c>
      <c r="W31" s="30">
        <f t="shared" si="11"/>
        <v>0</v>
      </c>
      <c r="X31" s="30">
        <f t="shared" si="12"/>
        <v>0</v>
      </c>
      <c r="Y31" s="30">
        <f t="shared" si="13"/>
        <v>0</v>
      </c>
      <c r="Z31" s="30">
        <f t="shared" si="14"/>
        <v>0</v>
      </c>
      <c r="AA31" s="30">
        <f t="shared" si="15"/>
        <v>0</v>
      </c>
      <c r="AB31" s="30">
        <f t="shared" si="16"/>
        <v>0</v>
      </c>
      <c r="AC31" s="30">
        <f t="shared" si="17"/>
        <v>0</v>
      </c>
      <c r="AE31">
        <f t="shared" si="18"/>
        <v>0</v>
      </c>
      <c r="AF31">
        <f t="shared" si="19"/>
        <v>0</v>
      </c>
      <c r="AG31">
        <f t="shared" si="20"/>
        <v>0</v>
      </c>
      <c r="AH31">
        <f t="shared" si="21"/>
        <v>0</v>
      </c>
      <c r="AI31">
        <f t="shared" si="1"/>
        <v>0</v>
      </c>
      <c r="AJ31">
        <f t="shared" si="22"/>
        <v>0</v>
      </c>
      <c r="AK31">
        <f t="shared" si="23"/>
        <v>0</v>
      </c>
      <c r="AL31">
        <f t="shared" si="24"/>
        <v>0</v>
      </c>
      <c r="AM31">
        <f t="shared" si="25"/>
        <v>0</v>
      </c>
      <c r="AN31">
        <f t="shared" si="36"/>
        <v>0</v>
      </c>
      <c r="AO31">
        <f t="shared" si="37"/>
        <v>0</v>
      </c>
      <c r="AQ31">
        <f t="shared" si="28"/>
        <v>0</v>
      </c>
      <c r="AR31">
        <f t="shared" si="29"/>
        <v>0</v>
      </c>
      <c r="AS31">
        <f t="shared" si="30"/>
        <v>0</v>
      </c>
      <c r="AT31">
        <f t="shared" si="31"/>
        <v>0</v>
      </c>
      <c r="AU31">
        <f t="shared" si="32"/>
        <v>0</v>
      </c>
      <c r="AV31">
        <f t="shared" si="33"/>
        <v>0</v>
      </c>
      <c r="AW31">
        <f t="shared" si="2"/>
        <v>0</v>
      </c>
      <c r="AX31">
        <f t="shared" si="3"/>
        <v>0</v>
      </c>
      <c r="AY31">
        <f t="shared" si="34"/>
        <v>0</v>
      </c>
      <c r="AZ31">
        <f t="shared" si="35"/>
        <v>0</v>
      </c>
    </row>
    <row r="32" spans="1:52" ht="15" customHeight="1">
      <c r="A32" s="48"/>
      <c r="B32" s="80"/>
      <c r="C32" s="49"/>
      <c r="D32" s="49"/>
      <c r="E32" s="48"/>
      <c r="F32" s="48"/>
      <c r="G32" s="50"/>
      <c r="H32" s="56" t="str">
        <f>VLOOKUP(G:G,A62:B87,2,FALSE)</f>
        <v> </v>
      </c>
      <c r="I32" s="76"/>
      <c r="J32" s="76"/>
      <c r="K32" s="76"/>
      <c r="L32" s="31">
        <f t="shared" si="0"/>
        <v>0</v>
      </c>
      <c r="M32" s="76"/>
      <c r="N32" s="277"/>
      <c r="P32" s="30">
        <f t="shared" si="4"/>
        <v>0</v>
      </c>
      <c r="Q32" s="30">
        <f t="shared" si="5"/>
        <v>0</v>
      </c>
      <c r="R32" s="30">
        <f t="shared" si="6"/>
        <v>0</v>
      </c>
      <c r="S32" s="30">
        <f t="shared" si="7"/>
        <v>0</v>
      </c>
      <c r="T32" s="30">
        <f t="shared" si="8"/>
        <v>0</v>
      </c>
      <c r="U32" s="30">
        <f t="shared" si="9"/>
        <v>0</v>
      </c>
      <c r="V32" s="30">
        <f t="shared" si="10"/>
        <v>0</v>
      </c>
      <c r="W32" s="30">
        <f t="shared" si="11"/>
        <v>0</v>
      </c>
      <c r="X32" s="30">
        <f t="shared" si="12"/>
        <v>0</v>
      </c>
      <c r="Y32" s="30">
        <f t="shared" si="13"/>
        <v>0</v>
      </c>
      <c r="Z32" s="30">
        <f t="shared" si="14"/>
        <v>0</v>
      </c>
      <c r="AA32" s="30">
        <f t="shared" si="15"/>
        <v>0</v>
      </c>
      <c r="AB32" s="30">
        <f t="shared" si="16"/>
        <v>0</v>
      </c>
      <c r="AC32" s="30">
        <f t="shared" si="17"/>
        <v>0</v>
      </c>
      <c r="AE32">
        <f t="shared" si="18"/>
        <v>0</v>
      </c>
      <c r="AF32">
        <f t="shared" si="19"/>
        <v>0</v>
      </c>
      <c r="AG32">
        <f t="shared" si="20"/>
        <v>0</v>
      </c>
      <c r="AH32">
        <f t="shared" si="21"/>
        <v>0</v>
      </c>
      <c r="AI32">
        <f t="shared" si="1"/>
        <v>0</v>
      </c>
      <c r="AJ32">
        <f t="shared" si="22"/>
        <v>0</v>
      </c>
      <c r="AK32">
        <f t="shared" si="23"/>
        <v>0</v>
      </c>
      <c r="AL32">
        <f t="shared" si="24"/>
        <v>0</v>
      </c>
      <c r="AM32">
        <f t="shared" si="25"/>
        <v>0</v>
      </c>
      <c r="AN32">
        <f t="shared" si="36"/>
        <v>0</v>
      </c>
      <c r="AO32">
        <f t="shared" si="37"/>
        <v>0</v>
      </c>
      <c r="AQ32">
        <f t="shared" si="28"/>
        <v>0</v>
      </c>
      <c r="AR32">
        <f t="shared" si="29"/>
        <v>0</v>
      </c>
      <c r="AS32">
        <f t="shared" si="30"/>
        <v>0</v>
      </c>
      <c r="AT32">
        <f t="shared" si="31"/>
        <v>0</v>
      </c>
      <c r="AU32">
        <f t="shared" si="32"/>
        <v>0</v>
      </c>
      <c r="AV32">
        <f t="shared" si="33"/>
        <v>0</v>
      </c>
      <c r="AW32">
        <f t="shared" si="2"/>
        <v>0</v>
      </c>
      <c r="AX32">
        <f t="shared" si="3"/>
        <v>0</v>
      </c>
      <c r="AY32">
        <f t="shared" si="34"/>
        <v>0</v>
      </c>
      <c r="AZ32">
        <f t="shared" si="35"/>
        <v>0</v>
      </c>
    </row>
    <row r="33" spans="1:52" ht="15" customHeight="1">
      <c r="A33" s="48"/>
      <c r="B33" s="80"/>
      <c r="C33" s="49"/>
      <c r="D33" s="49"/>
      <c r="E33" s="48"/>
      <c r="F33" s="48"/>
      <c r="G33" s="50"/>
      <c r="H33" s="56" t="str">
        <f>VLOOKUP(G:G,A62:B87,2,FALSE)</f>
        <v> </v>
      </c>
      <c r="I33" s="76"/>
      <c r="J33" s="76"/>
      <c r="K33" s="76"/>
      <c r="L33" s="31">
        <f t="shared" si="0"/>
        <v>0</v>
      </c>
      <c r="M33" s="76"/>
      <c r="N33" s="277"/>
      <c r="P33" s="30">
        <f t="shared" si="4"/>
        <v>0</v>
      </c>
      <c r="Q33" s="30">
        <f t="shared" si="5"/>
        <v>0</v>
      </c>
      <c r="R33" s="30">
        <f t="shared" si="6"/>
        <v>0</v>
      </c>
      <c r="S33" s="30">
        <f t="shared" si="7"/>
        <v>0</v>
      </c>
      <c r="T33" s="30">
        <f t="shared" si="8"/>
        <v>0</v>
      </c>
      <c r="U33" s="30">
        <f t="shared" si="9"/>
        <v>0</v>
      </c>
      <c r="V33" s="30">
        <f t="shared" si="10"/>
        <v>0</v>
      </c>
      <c r="W33" s="30">
        <f t="shared" si="11"/>
        <v>0</v>
      </c>
      <c r="X33" s="30">
        <f t="shared" si="12"/>
        <v>0</v>
      </c>
      <c r="Y33" s="30">
        <f t="shared" si="13"/>
        <v>0</v>
      </c>
      <c r="Z33" s="30">
        <f t="shared" si="14"/>
        <v>0</v>
      </c>
      <c r="AA33" s="30">
        <f t="shared" si="15"/>
        <v>0</v>
      </c>
      <c r="AB33" s="30">
        <f t="shared" si="16"/>
        <v>0</v>
      </c>
      <c r="AC33" s="30">
        <f t="shared" si="17"/>
        <v>0</v>
      </c>
      <c r="AE33">
        <f t="shared" si="18"/>
        <v>0</v>
      </c>
      <c r="AF33">
        <f t="shared" si="19"/>
        <v>0</v>
      </c>
      <c r="AG33">
        <f t="shared" si="20"/>
        <v>0</v>
      </c>
      <c r="AH33">
        <f t="shared" si="21"/>
        <v>0</v>
      </c>
      <c r="AI33">
        <f t="shared" si="1"/>
        <v>0</v>
      </c>
      <c r="AJ33">
        <f t="shared" si="22"/>
        <v>0</v>
      </c>
      <c r="AK33">
        <f t="shared" si="23"/>
        <v>0</v>
      </c>
      <c r="AL33">
        <f t="shared" si="24"/>
        <v>0</v>
      </c>
      <c r="AM33">
        <f t="shared" si="25"/>
        <v>0</v>
      </c>
      <c r="AN33">
        <f t="shared" si="36"/>
        <v>0</v>
      </c>
      <c r="AO33">
        <f t="shared" si="37"/>
        <v>0</v>
      </c>
      <c r="AQ33">
        <f t="shared" si="28"/>
        <v>0</v>
      </c>
      <c r="AR33">
        <f t="shared" si="29"/>
        <v>0</v>
      </c>
      <c r="AS33">
        <f t="shared" si="30"/>
        <v>0</v>
      </c>
      <c r="AT33">
        <f t="shared" si="31"/>
        <v>0</v>
      </c>
      <c r="AU33">
        <f t="shared" si="32"/>
        <v>0</v>
      </c>
      <c r="AV33">
        <f t="shared" si="33"/>
        <v>0</v>
      </c>
      <c r="AW33">
        <f t="shared" si="2"/>
        <v>0</v>
      </c>
      <c r="AX33">
        <f t="shared" si="3"/>
        <v>0</v>
      </c>
      <c r="AY33">
        <f t="shared" si="34"/>
        <v>0</v>
      </c>
      <c r="AZ33">
        <f t="shared" si="35"/>
        <v>0</v>
      </c>
    </row>
    <row r="34" spans="1:52" ht="15" customHeight="1">
      <c r="A34" s="48"/>
      <c r="B34" s="80"/>
      <c r="C34" s="49"/>
      <c r="D34" s="49"/>
      <c r="E34" s="48"/>
      <c r="F34" s="48"/>
      <c r="G34" s="50"/>
      <c r="H34" s="56" t="str">
        <f>VLOOKUP(G:G,A62:B87,2,FALSE)</f>
        <v> </v>
      </c>
      <c r="I34" s="76"/>
      <c r="J34" s="76"/>
      <c r="K34" s="76"/>
      <c r="L34" s="31">
        <f t="shared" si="0"/>
        <v>0</v>
      </c>
      <c r="M34" s="76"/>
      <c r="N34" s="277"/>
      <c r="P34" s="30">
        <f t="shared" si="4"/>
        <v>0</v>
      </c>
      <c r="Q34" s="30">
        <f t="shared" si="5"/>
        <v>0</v>
      </c>
      <c r="R34" s="30">
        <f t="shared" si="6"/>
        <v>0</v>
      </c>
      <c r="S34" s="30">
        <f t="shared" si="7"/>
        <v>0</v>
      </c>
      <c r="T34" s="30">
        <f t="shared" si="8"/>
        <v>0</v>
      </c>
      <c r="U34" s="30">
        <f t="shared" si="9"/>
        <v>0</v>
      </c>
      <c r="V34" s="30">
        <f t="shared" si="10"/>
        <v>0</v>
      </c>
      <c r="W34" s="30">
        <f t="shared" si="11"/>
        <v>0</v>
      </c>
      <c r="X34" s="30">
        <f t="shared" si="12"/>
        <v>0</v>
      </c>
      <c r="Y34" s="30">
        <f t="shared" si="13"/>
        <v>0</v>
      </c>
      <c r="Z34" s="30">
        <f t="shared" si="14"/>
        <v>0</v>
      </c>
      <c r="AA34" s="30">
        <f t="shared" si="15"/>
        <v>0</v>
      </c>
      <c r="AB34" s="30">
        <f t="shared" si="16"/>
        <v>0</v>
      </c>
      <c r="AC34" s="30">
        <f t="shared" si="17"/>
        <v>0</v>
      </c>
      <c r="AE34">
        <f t="shared" si="18"/>
        <v>0</v>
      </c>
      <c r="AF34">
        <f t="shared" si="19"/>
        <v>0</v>
      </c>
      <c r="AG34">
        <f t="shared" si="20"/>
        <v>0</v>
      </c>
      <c r="AH34">
        <f t="shared" si="21"/>
        <v>0</v>
      </c>
      <c r="AI34">
        <f t="shared" si="1"/>
        <v>0</v>
      </c>
      <c r="AJ34">
        <f t="shared" si="22"/>
        <v>0</v>
      </c>
      <c r="AK34">
        <f t="shared" si="23"/>
        <v>0</v>
      </c>
      <c r="AL34">
        <f t="shared" si="24"/>
        <v>0</v>
      </c>
      <c r="AM34">
        <f t="shared" si="25"/>
        <v>0</v>
      </c>
      <c r="AN34">
        <f t="shared" si="36"/>
        <v>0</v>
      </c>
      <c r="AO34">
        <f t="shared" si="37"/>
        <v>0</v>
      </c>
      <c r="AQ34">
        <f t="shared" si="28"/>
        <v>0</v>
      </c>
      <c r="AR34">
        <f t="shared" si="29"/>
        <v>0</v>
      </c>
      <c r="AS34">
        <f t="shared" si="30"/>
        <v>0</v>
      </c>
      <c r="AT34">
        <f t="shared" si="31"/>
        <v>0</v>
      </c>
      <c r="AU34">
        <f t="shared" si="32"/>
        <v>0</v>
      </c>
      <c r="AV34">
        <f t="shared" si="33"/>
        <v>0</v>
      </c>
      <c r="AW34">
        <f t="shared" si="2"/>
        <v>0</v>
      </c>
      <c r="AX34">
        <f t="shared" si="3"/>
        <v>0</v>
      </c>
      <c r="AY34">
        <f t="shared" si="34"/>
        <v>0</v>
      </c>
      <c r="AZ34">
        <f t="shared" si="35"/>
        <v>0</v>
      </c>
    </row>
    <row r="35" spans="1:52" ht="15" customHeight="1">
      <c r="A35" s="48"/>
      <c r="B35" s="80"/>
      <c r="C35" s="49"/>
      <c r="D35" s="49"/>
      <c r="E35" s="48"/>
      <c r="F35" s="48"/>
      <c r="G35" s="50"/>
      <c r="H35" s="56" t="str">
        <f>VLOOKUP(G:G,A62:B87,2,FALSE)</f>
        <v> </v>
      </c>
      <c r="I35" s="76"/>
      <c r="J35" s="76"/>
      <c r="K35" s="76"/>
      <c r="L35" s="31">
        <f t="shared" si="0"/>
        <v>0</v>
      </c>
      <c r="M35" s="76"/>
      <c r="N35" s="277"/>
      <c r="P35" s="30">
        <f t="shared" si="4"/>
        <v>0</v>
      </c>
      <c r="Q35" s="30">
        <f t="shared" si="5"/>
        <v>0</v>
      </c>
      <c r="R35" s="30">
        <f t="shared" si="6"/>
        <v>0</v>
      </c>
      <c r="S35" s="30">
        <f t="shared" si="7"/>
        <v>0</v>
      </c>
      <c r="T35" s="30">
        <f t="shared" si="8"/>
        <v>0</v>
      </c>
      <c r="U35" s="30">
        <f t="shared" si="9"/>
        <v>0</v>
      </c>
      <c r="V35" s="30">
        <f t="shared" si="10"/>
        <v>0</v>
      </c>
      <c r="W35" s="30">
        <f t="shared" si="11"/>
        <v>0</v>
      </c>
      <c r="X35" s="30">
        <f t="shared" si="12"/>
        <v>0</v>
      </c>
      <c r="Y35" s="30">
        <f t="shared" si="13"/>
        <v>0</v>
      </c>
      <c r="Z35" s="30">
        <f t="shared" si="14"/>
        <v>0</v>
      </c>
      <c r="AA35" s="30">
        <f t="shared" si="15"/>
        <v>0</v>
      </c>
      <c r="AB35" s="30">
        <f t="shared" si="16"/>
        <v>0</v>
      </c>
      <c r="AC35" s="30">
        <f t="shared" si="17"/>
        <v>0</v>
      </c>
      <c r="AE35">
        <f t="shared" si="18"/>
        <v>0</v>
      </c>
      <c r="AF35">
        <f t="shared" si="19"/>
        <v>0</v>
      </c>
      <c r="AG35">
        <f t="shared" si="20"/>
        <v>0</v>
      </c>
      <c r="AH35">
        <f t="shared" si="21"/>
        <v>0</v>
      </c>
      <c r="AI35">
        <f t="shared" si="1"/>
        <v>0</v>
      </c>
      <c r="AJ35">
        <f t="shared" si="22"/>
        <v>0</v>
      </c>
      <c r="AK35">
        <f t="shared" si="23"/>
        <v>0</v>
      </c>
      <c r="AL35">
        <f t="shared" si="24"/>
        <v>0</v>
      </c>
      <c r="AM35">
        <f t="shared" si="25"/>
        <v>0</v>
      </c>
      <c r="AN35">
        <f t="shared" si="36"/>
        <v>0</v>
      </c>
      <c r="AO35">
        <f t="shared" si="37"/>
        <v>0</v>
      </c>
      <c r="AQ35">
        <f t="shared" si="28"/>
        <v>0</v>
      </c>
      <c r="AR35">
        <f t="shared" si="29"/>
        <v>0</v>
      </c>
      <c r="AS35">
        <f t="shared" si="30"/>
        <v>0</v>
      </c>
      <c r="AT35">
        <f t="shared" si="31"/>
        <v>0</v>
      </c>
      <c r="AU35">
        <f t="shared" si="32"/>
        <v>0</v>
      </c>
      <c r="AV35">
        <f t="shared" si="33"/>
        <v>0</v>
      </c>
      <c r="AW35">
        <f t="shared" si="2"/>
        <v>0</v>
      </c>
      <c r="AX35">
        <f t="shared" si="3"/>
        <v>0</v>
      </c>
      <c r="AY35">
        <f t="shared" si="34"/>
        <v>0</v>
      </c>
      <c r="AZ35">
        <f t="shared" si="35"/>
        <v>0</v>
      </c>
    </row>
    <row r="36" spans="1:52" ht="15" customHeight="1">
      <c r="A36" s="48"/>
      <c r="B36" s="80"/>
      <c r="C36" s="49"/>
      <c r="D36" s="49"/>
      <c r="E36" s="48"/>
      <c r="F36" s="48"/>
      <c r="G36" s="50"/>
      <c r="H36" s="56" t="str">
        <f>VLOOKUP(G:G,A62:B87,2,FALSE)</f>
        <v> </v>
      </c>
      <c r="I36" s="76"/>
      <c r="J36" s="76"/>
      <c r="K36" s="76"/>
      <c r="L36" s="31">
        <f t="shared" si="0"/>
        <v>0</v>
      </c>
      <c r="M36" s="76"/>
      <c r="N36" s="277"/>
      <c r="P36" s="30">
        <f t="shared" si="4"/>
        <v>0</v>
      </c>
      <c r="Q36" s="30">
        <f t="shared" si="5"/>
        <v>0</v>
      </c>
      <c r="R36" s="30">
        <f t="shared" si="6"/>
        <v>0</v>
      </c>
      <c r="S36" s="30">
        <f t="shared" si="7"/>
        <v>0</v>
      </c>
      <c r="T36" s="30">
        <f t="shared" si="8"/>
        <v>0</v>
      </c>
      <c r="U36" s="30">
        <f t="shared" si="9"/>
        <v>0</v>
      </c>
      <c r="V36" s="30">
        <f t="shared" si="10"/>
        <v>0</v>
      </c>
      <c r="W36" s="30">
        <f t="shared" si="11"/>
        <v>0</v>
      </c>
      <c r="X36" s="30">
        <f t="shared" si="12"/>
        <v>0</v>
      </c>
      <c r="Y36" s="30">
        <f t="shared" si="13"/>
        <v>0</v>
      </c>
      <c r="Z36" s="30">
        <f t="shared" si="14"/>
        <v>0</v>
      </c>
      <c r="AA36" s="30">
        <f t="shared" si="15"/>
        <v>0</v>
      </c>
      <c r="AB36" s="30">
        <f t="shared" si="16"/>
        <v>0</v>
      </c>
      <c r="AC36" s="30">
        <f t="shared" si="17"/>
        <v>0</v>
      </c>
      <c r="AE36">
        <f t="shared" si="18"/>
        <v>0</v>
      </c>
      <c r="AF36">
        <f t="shared" si="19"/>
        <v>0</v>
      </c>
      <c r="AG36">
        <f t="shared" si="20"/>
        <v>0</v>
      </c>
      <c r="AH36">
        <f t="shared" si="21"/>
        <v>0</v>
      </c>
      <c r="AI36">
        <f t="shared" si="1"/>
        <v>0</v>
      </c>
      <c r="AJ36">
        <f t="shared" si="22"/>
        <v>0</v>
      </c>
      <c r="AK36">
        <f t="shared" si="23"/>
        <v>0</v>
      </c>
      <c r="AL36">
        <f t="shared" si="24"/>
        <v>0</v>
      </c>
      <c r="AM36">
        <f t="shared" si="25"/>
        <v>0</v>
      </c>
      <c r="AN36">
        <f t="shared" si="36"/>
        <v>0</v>
      </c>
      <c r="AO36">
        <f t="shared" si="37"/>
        <v>0</v>
      </c>
      <c r="AQ36">
        <f t="shared" si="28"/>
        <v>0</v>
      </c>
      <c r="AR36">
        <f t="shared" si="29"/>
        <v>0</v>
      </c>
      <c r="AS36">
        <f t="shared" si="30"/>
        <v>0</v>
      </c>
      <c r="AT36">
        <f t="shared" si="31"/>
        <v>0</v>
      </c>
      <c r="AU36">
        <f t="shared" si="32"/>
        <v>0</v>
      </c>
      <c r="AV36">
        <f t="shared" si="33"/>
        <v>0</v>
      </c>
      <c r="AW36">
        <f t="shared" si="2"/>
        <v>0</v>
      </c>
      <c r="AX36">
        <f t="shared" si="3"/>
        <v>0</v>
      </c>
      <c r="AY36">
        <f t="shared" si="34"/>
        <v>0</v>
      </c>
      <c r="AZ36">
        <f t="shared" si="35"/>
        <v>0</v>
      </c>
    </row>
    <row r="37" spans="1:52" ht="15" customHeight="1">
      <c r="A37" s="48"/>
      <c r="B37" s="80"/>
      <c r="C37" s="49"/>
      <c r="D37" s="49"/>
      <c r="E37" s="48"/>
      <c r="F37" s="48"/>
      <c r="G37" s="50"/>
      <c r="H37" s="56" t="str">
        <f>VLOOKUP(G:G,A62:B87,2,FALSE)</f>
        <v> </v>
      </c>
      <c r="I37" s="76"/>
      <c r="J37" s="76"/>
      <c r="K37" s="76"/>
      <c r="L37" s="31">
        <f t="shared" si="0"/>
        <v>0</v>
      </c>
      <c r="M37" s="76"/>
      <c r="N37" s="277"/>
      <c r="P37" s="30">
        <f t="shared" si="4"/>
        <v>0</v>
      </c>
      <c r="Q37" s="30">
        <f t="shared" si="5"/>
        <v>0</v>
      </c>
      <c r="R37" s="30">
        <f t="shared" si="6"/>
        <v>0</v>
      </c>
      <c r="S37" s="30">
        <f t="shared" si="7"/>
        <v>0</v>
      </c>
      <c r="T37" s="30">
        <f t="shared" si="8"/>
        <v>0</v>
      </c>
      <c r="U37" s="30">
        <f t="shared" si="9"/>
        <v>0</v>
      </c>
      <c r="V37" s="30">
        <f t="shared" si="10"/>
        <v>0</v>
      </c>
      <c r="W37" s="30">
        <f t="shared" si="11"/>
        <v>0</v>
      </c>
      <c r="X37" s="30">
        <f t="shared" si="12"/>
        <v>0</v>
      </c>
      <c r="Y37" s="30">
        <f t="shared" si="13"/>
        <v>0</v>
      </c>
      <c r="Z37" s="30">
        <f t="shared" si="14"/>
        <v>0</v>
      </c>
      <c r="AA37" s="30">
        <f t="shared" si="15"/>
        <v>0</v>
      </c>
      <c r="AB37" s="30">
        <f t="shared" si="16"/>
        <v>0</v>
      </c>
      <c r="AC37" s="30">
        <f t="shared" si="17"/>
        <v>0</v>
      </c>
      <c r="AE37">
        <f t="shared" si="18"/>
        <v>0</v>
      </c>
      <c r="AF37">
        <f t="shared" si="19"/>
        <v>0</v>
      </c>
      <c r="AG37">
        <f t="shared" si="20"/>
        <v>0</v>
      </c>
      <c r="AH37">
        <f t="shared" si="21"/>
        <v>0</v>
      </c>
      <c r="AI37">
        <f t="shared" si="1"/>
        <v>0</v>
      </c>
      <c r="AJ37">
        <f t="shared" si="22"/>
        <v>0</v>
      </c>
      <c r="AK37">
        <f t="shared" si="23"/>
        <v>0</v>
      </c>
      <c r="AL37">
        <f t="shared" si="24"/>
        <v>0</v>
      </c>
      <c r="AM37">
        <f t="shared" si="25"/>
        <v>0</v>
      </c>
      <c r="AN37">
        <f t="shared" si="36"/>
        <v>0</v>
      </c>
      <c r="AO37">
        <f t="shared" si="37"/>
        <v>0</v>
      </c>
      <c r="AQ37">
        <f t="shared" si="28"/>
        <v>0</v>
      </c>
      <c r="AR37">
        <f t="shared" si="29"/>
        <v>0</v>
      </c>
      <c r="AS37">
        <f t="shared" si="30"/>
        <v>0</v>
      </c>
      <c r="AT37">
        <f t="shared" si="31"/>
        <v>0</v>
      </c>
      <c r="AU37">
        <f t="shared" si="32"/>
        <v>0</v>
      </c>
      <c r="AV37">
        <f t="shared" si="33"/>
        <v>0</v>
      </c>
      <c r="AW37">
        <f t="shared" si="2"/>
        <v>0</v>
      </c>
      <c r="AX37">
        <f t="shared" si="3"/>
        <v>0</v>
      </c>
      <c r="AY37">
        <f t="shared" si="34"/>
        <v>0</v>
      </c>
      <c r="AZ37">
        <f t="shared" si="35"/>
        <v>0</v>
      </c>
    </row>
    <row r="38" spans="1:52" ht="15" customHeight="1">
      <c r="A38" s="48"/>
      <c r="B38" s="80"/>
      <c r="C38" s="49"/>
      <c r="D38" s="49"/>
      <c r="E38" s="48"/>
      <c r="F38" s="48"/>
      <c r="G38" s="50"/>
      <c r="H38" s="56" t="str">
        <f>VLOOKUP(G:G,A62:B87,2,FALSE)</f>
        <v> </v>
      </c>
      <c r="I38" s="76"/>
      <c r="J38" s="76"/>
      <c r="K38" s="76"/>
      <c r="L38" s="31">
        <f t="shared" si="0"/>
        <v>0</v>
      </c>
      <c r="M38" s="76"/>
      <c r="N38" s="277"/>
      <c r="P38" s="30">
        <f t="shared" si="4"/>
        <v>0</v>
      </c>
      <c r="Q38" s="30">
        <f t="shared" si="5"/>
        <v>0</v>
      </c>
      <c r="R38" s="30">
        <f t="shared" si="6"/>
        <v>0</v>
      </c>
      <c r="S38" s="30">
        <f t="shared" si="7"/>
        <v>0</v>
      </c>
      <c r="T38" s="30">
        <f t="shared" si="8"/>
        <v>0</v>
      </c>
      <c r="U38" s="30">
        <f t="shared" si="9"/>
        <v>0</v>
      </c>
      <c r="V38" s="30">
        <f t="shared" si="10"/>
        <v>0</v>
      </c>
      <c r="W38" s="30">
        <f t="shared" si="11"/>
        <v>0</v>
      </c>
      <c r="X38" s="30">
        <f t="shared" si="12"/>
        <v>0</v>
      </c>
      <c r="Y38" s="30">
        <f t="shared" si="13"/>
        <v>0</v>
      </c>
      <c r="Z38" s="30">
        <f t="shared" si="14"/>
        <v>0</v>
      </c>
      <c r="AA38" s="30">
        <f t="shared" si="15"/>
        <v>0</v>
      </c>
      <c r="AB38" s="30">
        <f t="shared" si="16"/>
        <v>0</v>
      </c>
      <c r="AC38" s="30">
        <f t="shared" si="17"/>
        <v>0</v>
      </c>
      <c r="AE38">
        <f t="shared" si="18"/>
        <v>0</v>
      </c>
      <c r="AF38">
        <f t="shared" si="19"/>
        <v>0</v>
      </c>
      <c r="AG38">
        <f t="shared" si="20"/>
        <v>0</v>
      </c>
      <c r="AH38">
        <f t="shared" si="21"/>
        <v>0</v>
      </c>
      <c r="AI38">
        <f t="shared" si="1"/>
        <v>0</v>
      </c>
      <c r="AJ38">
        <f t="shared" si="22"/>
        <v>0</v>
      </c>
      <c r="AK38">
        <f t="shared" si="23"/>
        <v>0</v>
      </c>
      <c r="AL38">
        <f t="shared" si="24"/>
        <v>0</v>
      </c>
      <c r="AM38">
        <f t="shared" si="25"/>
        <v>0</v>
      </c>
      <c r="AN38">
        <f t="shared" si="36"/>
        <v>0</v>
      </c>
      <c r="AO38">
        <f t="shared" si="37"/>
        <v>0</v>
      </c>
      <c r="AQ38">
        <f t="shared" si="28"/>
        <v>0</v>
      </c>
      <c r="AR38">
        <f t="shared" si="29"/>
        <v>0</v>
      </c>
      <c r="AS38">
        <f t="shared" si="30"/>
        <v>0</v>
      </c>
      <c r="AT38">
        <f t="shared" si="31"/>
        <v>0</v>
      </c>
      <c r="AU38">
        <f t="shared" si="32"/>
        <v>0</v>
      </c>
      <c r="AV38">
        <f t="shared" si="33"/>
        <v>0</v>
      </c>
      <c r="AW38">
        <f t="shared" si="2"/>
        <v>0</v>
      </c>
      <c r="AX38">
        <f t="shared" si="3"/>
        <v>0</v>
      </c>
      <c r="AY38">
        <f t="shared" si="34"/>
        <v>0</v>
      </c>
      <c r="AZ38">
        <f t="shared" si="35"/>
        <v>0</v>
      </c>
    </row>
    <row r="39" spans="1:52" ht="15" customHeight="1">
      <c r="A39" s="48"/>
      <c r="B39" s="80"/>
      <c r="C39" s="49"/>
      <c r="D39" s="49"/>
      <c r="E39" s="48"/>
      <c r="F39" s="48"/>
      <c r="G39" s="50"/>
      <c r="H39" s="56" t="str">
        <f>VLOOKUP(G:G,A62:B87,2,FALSE)</f>
        <v> </v>
      </c>
      <c r="I39" s="76"/>
      <c r="J39" s="76"/>
      <c r="K39" s="76"/>
      <c r="L39" s="31">
        <f t="shared" si="0"/>
        <v>0</v>
      </c>
      <c r="M39" s="76"/>
      <c r="N39" s="277"/>
      <c r="P39" s="30">
        <f t="shared" si="4"/>
        <v>0</v>
      </c>
      <c r="Q39" s="30">
        <f t="shared" si="5"/>
        <v>0</v>
      </c>
      <c r="R39" s="30">
        <f t="shared" si="6"/>
        <v>0</v>
      </c>
      <c r="S39" s="30">
        <f t="shared" si="7"/>
        <v>0</v>
      </c>
      <c r="T39" s="30">
        <f t="shared" si="8"/>
        <v>0</v>
      </c>
      <c r="U39" s="30">
        <f t="shared" si="9"/>
        <v>0</v>
      </c>
      <c r="V39" s="30">
        <f t="shared" si="10"/>
        <v>0</v>
      </c>
      <c r="W39" s="30">
        <f t="shared" si="11"/>
        <v>0</v>
      </c>
      <c r="X39" s="30">
        <f t="shared" si="12"/>
        <v>0</v>
      </c>
      <c r="Y39" s="30">
        <f t="shared" si="13"/>
        <v>0</v>
      </c>
      <c r="Z39" s="30">
        <f t="shared" si="14"/>
        <v>0</v>
      </c>
      <c r="AA39" s="30">
        <f t="shared" si="15"/>
        <v>0</v>
      </c>
      <c r="AB39" s="30">
        <f t="shared" si="16"/>
        <v>0</v>
      </c>
      <c r="AC39" s="30">
        <f t="shared" si="17"/>
        <v>0</v>
      </c>
      <c r="AE39">
        <f t="shared" si="18"/>
        <v>0</v>
      </c>
      <c r="AF39">
        <f t="shared" si="19"/>
        <v>0</v>
      </c>
      <c r="AG39">
        <f t="shared" si="20"/>
        <v>0</v>
      </c>
      <c r="AH39">
        <f t="shared" si="21"/>
        <v>0</v>
      </c>
      <c r="AI39">
        <f t="shared" si="1"/>
        <v>0</v>
      </c>
      <c r="AJ39">
        <f t="shared" si="22"/>
        <v>0</v>
      </c>
      <c r="AK39">
        <f t="shared" si="23"/>
        <v>0</v>
      </c>
      <c r="AL39">
        <f t="shared" si="24"/>
        <v>0</v>
      </c>
      <c r="AM39">
        <f t="shared" si="25"/>
        <v>0</v>
      </c>
      <c r="AN39">
        <f t="shared" si="36"/>
        <v>0</v>
      </c>
      <c r="AO39">
        <f t="shared" si="37"/>
        <v>0</v>
      </c>
      <c r="AQ39">
        <f t="shared" si="28"/>
        <v>0</v>
      </c>
      <c r="AR39">
        <f t="shared" si="29"/>
        <v>0</v>
      </c>
      <c r="AS39">
        <f t="shared" si="30"/>
        <v>0</v>
      </c>
      <c r="AT39">
        <f t="shared" si="31"/>
        <v>0</v>
      </c>
      <c r="AU39">
        <f t="shared" si="32"/>
        <v>0</v>
      </c>
      <c r="AV39">
        <f t="shared" si="33"/>
        <v>0</v>
      </c>
      <c r="AW39">
        <f t="shared" si="2"/>
        <v>0</v>
      </c>
      <c r="AX39">
        <f t="shared" si="3"/>
        <v>0</v>
      </c>
      <c r="AY39">
        <f t="shared" si="34"/>
        <v>0</v>
      </c>
      <c r="AZ39">
        <f t="shared" si="35"/>
        <v>0</v>
      </c>
    </row>
    <row r="40" spans="1:52" ht="15" customHeight="1">
      <c r="A40" s="47"/>
      <c r="B40" s="80"/>
      <c r="C40" s="49"/>
      <c r="D40" s="49"/>
      <c r="E40" s="48"/>
      <c r="F40" s="48"/>
      <c r="G40" s="50"/>
      <c r="H40" s="56" t="str">
        <f>VLOOKUP(G:G,A62:B87,2,FALSE)</f>
        <v> </v>
      </c>
      <c r="I40" s="76"/>
      <c r="J40" s="76"/>
      <c r="K40" s="76"/>
      <c r="L40" s="31">
        <f>SUM(I40,0.6*J40)</f>
        <v>0</v>
      </c>
      <c r="M40" s="76"/>
      <c r="N40" s="277"/>
      <c r="P40" s="30">
        <f t="shared" si="4"/>
        <v>0</v>
      </c>
      <c r="Q40" s="30">
        <f t="shared" si="5"/>
        <v>0</v>
      </c>
      <c r="R40" s="30">
        <f t="shared" si="6"/>
        <v>0</v>
      </c>
      <c r="S40" s="30">
        <f t="shared" si="7"/>
        <v>0</v>
      </c>
      <c r="T40" s="30">
        <f t="shared" si="8"/>
        <v>0</v>
      </c>
      <c r="U40" s="30">
        <f t="shared" si="9"/>
        <v>0</v>
      </c>
      <c r="V40" s="30">
        <f t="shared" si="10"/>
        <v>0</v>
      </c>
      <c r="W40" s="30">
        <f t="shared" si="11"/>
        <v>0</v>
      </c>
      <c r="X40" s="30">
        <f t="shared" si="12"/>
        <v>0</v>
      </c>
      <c r="Y40" s="30">
        <f t="shared" si="13"/>
        <v>0</v>
      </c>
      <c r="Z40" s="30">
        <f t="shared" si="14"/>
        <v>0</v>
      </c>
      <c r="AA40" s="30">
        <f t="shared" si="15"/>
        <v>0</v>
      </c>
      <c r="AB40" s="30">
        <f t="shared" si="16"/>
        <v>0</v>
      </c>
      <c r="AC40" s="30">
        <f t="shared" si="17"/>
        <v>0</v>
      </c>
      <c r="AE40">
        <f t="shared" si="18"/>
        <v>0</v>
      </c>
      <c r="AF40">
        <f t="shared" si="19"/>
        <v>0</v>
      </c>
      <c r="AG40">
        <f t="shared" si="20"/>
        <v>0</v>
      </c>
      <c r="AH40">
        <f t="shared" si="21"/>
        <v>0</v>
      </c>
      <c r="AI40">
        <f t="shared" si="1"/>
        <v>0</v>
      </c>
      <c r="AJ40">
        <f t="shared" si="22"/>
        <v>0</v>
      </c>
      <c r="AK40">
        <f t="shared" si="23"/>
        <v>0</v>
      </c>
      <c r="AL40">
        <f>IF(OR($G40="U6/1",$G40="U6/2"),$I40,0)</f>
        <v>0</v>
      </c>
      <c r="AM40">
        <f t="shared" si="25"/>
        <v>0</v>
      </c>
      <c r="AN40">
        <f>IF($G40="U2/5",$I40+($J40+$K40)*0.6,0)</f>
        <v>0</v>
      </c>
      <c r="AO40">
        <f>IF(OR($G40="U5/1",$G40="U5/2",$G40="U5/3",$G40="U5/4"),$M40,0)</f>
        <v>0</v>
      </c>
      <c r="AQ40">
        <f t="shared" si="28"/>
        <v>0</v>
      </c>
      <c r="AR40">
        <f t="shared" si="29"/>
        <v>0</v>
      </c>
      <c r="AS40">
        <f t="shared" si="30"/>
        <v>0</v>
      </c>
      <c r="AT40">
        <f t="shared" si="31"/>
        <v>0</v>
      </c>
      <c r="AU40">
        <f t="shared" si="32"/>
        <v>0</v>
      </c>
      <c r="AV40">
        <f t="shared" si="33"/>
        <v>0</v>
      </c>
      <c r="AW40">
        <f t="shared" si="2"/>
        <v>0</v>
      </c>
      <c r="AX40">
        <f t="shared" si="3"/>
        <v>0</v>
      </c>
      <c r="AY40">
        <f t="shared" si="34"/>
        <v>0</v>
      </c>
      <c r="AZ40">
        <f t="shared" si="35"/>
        <v>0</v>
      </c>
    </row>
    <row r="41" spans="1:52" ht="15" customHeight="1">
      <c r="A41" s="47"/>
      <c r="B41" s="80"/>
      <c r="C41" s="49"/>
      <c r="D41" s="49"/>
      <c r="E41" s="48"/>
      <c r="F41" s="48"/>
      <c r="G41" s="50"/>
      <c r="H41" s="56" t="str">
        <f>VLOOKUP(G:G,A62:B87,2,FALSE)</f>
        <v> </v>
      </c>
      <c r="I41" s="76"/>
      <c r="J41" s="76"/>
      <c r="K41" s="76"/>
      <c r="L41" s="31">
        <f>SUM(I41,0.6*J41)</f>
        <v>0</v>
      </c>
      <c r="M41" s="76"/>
      <c r="N41" s="277"/>
      <c r="P41" s="30">
        <f t="shared" si="4"/>
        <v>0</v>
      </c>
      <c r="Q41" s="30">
        <f t="shared" si="5"/>
        <v>0</v>
      </c>
      <c r="R41" s="30">
        <f t="shared" si="6"/>
        <v>0</v>
      </c>
      <c r="S41" s="30">
        <f t="shared" si="7"/>
        <v>0</v>
      </c>
      <c r="T41" s="30">
        <f t="shared" si="8"/>
        <v>0</v>
      </c>
      <c r="U41" s="30">
        <f t="shared" si="9"/>
        <v>0</v>
      </c>
      <c r="V41" s="30">
        <f t="shared" si="10"/>
        <v>0</v>
      </c>
      <c r="W41" s="30">
        <f t="shared" si="11"/>
        <v>0</v>
      </c>
      <c r="X41" s="30">
        <f t="shared" si="12"/>
        <v>0</v>
      </c>
      <c r="Y41" s="30">
        <f t="shared" si="13"/>
        <v>0</v>
      </c>
      <c r="Z41" s="30">
        <f t="shared" si="14"/>
        <v>0</v>
      </c>
      <c r="AA41" s="30">
        <f t="shared" si="15"/>
        <v>0</v>
      </c>
      <c r="AB41" s="30">
        <f t="shared" si="16"/>
        <v>0</v>
      </c>
      <c r="AC41" s="30">
        <f t="shared" si="17"/>
        <v>0</v>
      </c>
      <c r="AE41">
        <f t="shared" si="18"/>
        <v>0</v>
      </c>
      <c r="AF41">
        <f t="shared" si="19"/>
        <v>0</v>
      </c>
      <c r="AG41">
        <f t="shared" si="20"/>
        <v>0</v>
      </c>
      <c r="AH41">
        <f t="shared" si="21"/>
        <v>0</v>
      </c>
      <c r="AI41">
        <f t="shared" si="1"/>
        <v>0</v>
      </c>
      <c r="AJ41">
        <f t="shared" si="22"/>
        <v>0</v>
      </c>
      <c r="AK41">
        <f t="shared" si="23"/>
        <v>0</v>
      </c>
      <c r="AL41">
        <f t="shared" si="24"/>
        <v>0</v>
      </c>
      <c r="AM41">
        <f t="shared" si="25"/>
        <v>0</v>
      </c>
      <c r="AN41">
        <f>IF($G41="U2/5",$I41+($J41+$K41)*0.6,0)</f>
        <v>0</v>
      </c>
      <c r="AO41">
        <f>IF(OR($G41="U5/1",$G41="U5/2",$G41="U5/3",$G41="U5/4"),$M41,0)</f>
        <v>0</v>
      </c>
      <c r="AQ41">
        <f t="shared" si="28"/>
        <v>0</v>
      </c>
      <c r="AR41">
        <f t="shared" si="29"/>
        <v>0</v>
      </c>
      <c r="AS41">
        <f t="shared" si="30"/>
        <v>0</v>
      </c>
      <c r="AT41">
        <f t="shared" si="31"/>
        <v>0</v>
      </c>
      <c r="AU41">
        <f t="shared" si="32"/>
        <v>0</v>
      </c>
      <c r="AV41">
        <f t="shared" si="33"/>
        <v>0</v>
      </c>
      <c r="AW41">
        <f t="shared" si="2"/>
        <v>0</v>
      </c>
      <c r="AX41">
        <f t="shared" si="3"/>
        <v>0</v>
      </c>
      <c r="AY41">
        <f t="shared" si="34"/>
        <v>0</v>
      </c>
      <c r="AZ41">
        <f t="shared" si="35"/>
        <v>0</v>
      </c>
    </row>
    <row r="42" spans="1:52" ht="15" customHeight="1">
      <c r="A42" s="47"/>
      <c r="B42" s="81"/>
      <c r="C42" s="49"/>
      <c r="D42" s="49"/>
      <c r="E42" s="48"/>
      <c r="F42" s="48"/>
      <c r="G42" s="50"/>
      <c r="H42" s="56" t="str">
        <f>VLOOKUP(G:G,A62:B87,2,FALSE)</f>
        <v> </v>
      </c>
      <c r="I42" s="76"/>
      <c r="J42" s="76"/>
      <c r="K42" s="76"/>
      <c r="L42" s="31">
        <f>SUM(I42,0.6*J42)</f>
        <v>0</v>
      </c>
      <c r="M42" s="76"/>
      <c r="N42" s="277"/>
      <c r="P42" s="30">
        <f t="shared" si="4"/>
        <v>0</v>
      </c>
      <c r="Q42" s="30">
        <f t="shared" si="5"/>
        <v>0</v>
      </c>
      <c r="R42" s="30">
        <f t="shared" si="6"/>
        <v>0</v>
      </c>
      <c r="S42" s="30">
        <f t="shared" si="7"/>
        <v>0</v>
      </c>
      <c r="T42" s="30">
        <f t="shared" si="8"/>
        <v>0</v>
      </c>
      <c r="U42" s="30">
        <f t="shared" si="9"/>
        <v>0</v>
      </c>
      <c r="V42" s="30">
        <f t="shared" si="10"/>
        <v>0</v>
      </c>
      <c r="W42" s="30">
        <f t="shared" si="11"/>
        <v>0</v>
      </c>
      <c r="X42" s="30">
        <f t="shared" si="12"/>
        <v>0</v>
      </c>
      <c r="Y42" s="30">
        <f t="shared" si="13"/>
        <v>0</v>
      </c>
      <c r="Z42" s="30">
        <f t="shared" si="14"/>
        <v>0</v>
      </c>
      <c r="AA42" s="30">
        <f t="shared" si="15"/>
        <v>0</v>
      </c>
      <c r="AB42" s="30">
        <f t="shared" si="16"/>
        <v>0</v>
      </c>
      <c r="AC42" s="30">
        <f t="shared" si="17"/>
        <v>0</v>
      </c>
      <c r="AE42">
        <f t="shared" si="18"/>
        <v>0</v>
      </c>
      <c r="AF42">
        <f t="shared" si="19"/>
        <v>0</v>
      </c>
      <c r="AG42">
        <f t="shared" si="20"/>
        <v>0</v>
      </c>
      <c r="AH42">
        <f t="shared" si="21"/>
        <v>0</v>
      </c>
      <c r="AI42">
        <f t="shared" si="1"/>
        <v>0</v>
      </c>
      <c r="AJ42">
        <f t="shared" si="22"/>
        <v>0</v>
      </c>
      <c r="AK42">
        <f t="shared" si="23"/>
        <v>0</v>
      </c>
      <c r="AL42">
        <f t="shared" si="24"/>
        <v>0</v>
      </c>
      <c r="AM42">
        <f t="shared" si="25"/>
        <v>0</v>
      </c>
      <c r="AN42">
        <f>IF($G42="U2/5",$I42+($J42+$K42)*0.6,0)</f>
        <v>0</v>
      </c>
      <c r="AO42">
        <f>IF(OR($G42="U5/1",$G42="U5/2",$G42="U5/3",$G42="U5/4"),$M42,0)</f>
        <v>0</v>
      </c>
      <c r="AQ42">
        <f t="shared" si="28"/>
        <v>0</v>
      </c>
      <c r="AR42">
        <f t="shared" si="29"/>
        <v>0</v>
      </c>
      <c r="AS42">
        <f t="shared" si="30"/>
        <v>0</v>
      </c>
      <c r="AT42">
        <f t="shared" si="31"/>
        <v>0</v>
      </c>
      <c r="AU42">
        <f t="shared" si="32"/>
        <v>0</v>
      </c>
      <c r="AV42">
        <f t="shared" si="33"/>
        <v>0</v>
      </c>
      <c r="AW42">
        <f t="shared" si="2"/>
        <v>0</v>
      </c>
      <c r="AX42">
        <f t="shared" si="3"/>
        <v>0</v>
      </c>
      <c r="AY42">
        <f t="shared" si="34"/>
        <v>0</v>
      </c>
      <c r="AZ42">
        <f t="shared" si="35"/>
        <v>0</v>
      </c>
    </row>
    <row r="43" spans="1:52" ht="15" customHeight="1" thickBot="1">
      <c r="A43" s="51"/>
      <c r="B43" s="82"/>
      <c r="C43" s="49"/>
      <c r="D43" s="49"/>
      <c r="E43" s="48"/>
      <c r="F43" s="48"/>
      <c r="G43" s="50"/>
      <c r="H43" s="56" t="str">
        <f>VLOOKUP(G:G,A62:B87,2,FALSE)</f>
        <v> </v>
      </c>
      <c r="I43" s="76"/>
      <c r="J43" s="76"/>
      <c r="K43" s="76"/>
      <c r="L43" s="32">
        <f>SUM(I43,0.6*J43)</f>
        <v>0</v>
      </c>
      <c r="M43" s="279"/>
      <c r="N43" s="277"/>
      <c r="P43" s="30">
        <f t="shared" si="4"/>
        <v>0</v>
      </c>
      <c r="Q43" s="30">
        <f t="shared" si="5"/>
        <v>0</v>
      </c>
      <c r="R43" s="30">
        <f t="shared" si="6"/>
        <v>0</v>
      </c>
      <c r="S43" s="30">
        <f t="shared" si="7"/>
        <v>0</v>
      </c>
      <c r="T43" s="30">
        <f t="shared" si="8"/>
        <v>0</v>
      </c>
      <c r="U43" s="30">
        <f t="shared" si="9"/>
        <v>0</v>
      </c>
      <c r="V43" s="30">
        <f t="shared" si="10"/>
        <v>0</v>
      </c>
      <c r="W43" s="30">
        <f t="shared" si="11"/>
        <v>0</v>
      </c>
      <c r="X43" s="30">
        <f t="shared" si="12"/>
        <v>0</v>
      </c>
      <c r="Y43" s="30">
        <f t="shared" si="13"/>
        <v>0</v>
      </c>
      <c r="Z43" s="30">
        <f t="shared" si="14"/>
        <v>0</v>
      </c>
      <c r="AA43" s="30">
        <f t="shared" si="15"/>
        <v>0</v>
      </c>
      <c r="AB43" s="30">
        <f t="shared" si="16"/>
        <v>0</v>
      </c>
      <c r="AC43" s="30">
        <f t="shared" si="17"/>
        <v>0</v>
      </c>
      <c r="AE43">
        <f t="shared" si="18"/>
        <v>0</v>
      </c>
      <c r="AF43">
        <f t="shared" si="19"/>
        <v>0</v>
      </c>
      <c r="AG43">
        <f t="shared" si="20"/>
        <v>0</v>
      </c>
      <c r="AH43">
        <f t="shared" si="21"/>
        <v>0</v>
      </c>
      <c r="AI43">
        <f t="shared" si="1"/>
        <v>0</v>
      </c>
      <c r="AJ43">
        <f t="shared" si="22"/>
        <v>0</v>
      </c>
      <c r="AK43">
        <f t="shared" si="23"/>
        <v>0</v>
      </c>
      <c r="AL43">
        <f t="shared" si="24"/>
        <v>0</v>
      </c>
      <c r="AM43">
        <f t="shared" si="25"/>
        <v>0</v>
      </c>
      <c r="AN43">
        <f>IF($G43="U2/5",$I43+($J43+$K43)*0.6,0)</f>
        <v>0</v>
      </c>
      <c r="AO43">
        <f>IF(OR($G43="U5/1",$G43="U5/2",$G43="U5/3",$G43="U5/4"),$M43,0)</f>
        <v>0</v>
      </c>
      <c r="AQ43">
        <f t="shared" si="28"/>
        <v>0</v>
      </c>
      <c r="AR43">
        <f t="shared" si="29"/>
        <v>0</v>
      </c>
      <c r="AS43">
        <f t="shared" si="30"/>
        <v>0</v>
      </c>
      <c r="AT43">
        <f t="shared" si="31"/>
        <v>0</v>
      </c>
      <c r="AU43">
        <f t="shared" si="32"/>
        <v>0</v>
      </c>
      <c r="AV43">
        <f t="shared" si="33"/>
        <v>0</v>
      </c>
      <c r="AW43">
        <f t="shared" si="2"/>
        <v>0</v>
      </c>
      <c r="AX43">
        <f t="shared" si="3"/>
        <v>0</v>
      </c>
      <c r="AY43">
        <f t="shared" si="34"/>
        <v>0</v>
      </c>
      <c r="AZ43">
        <f t="shared" si="35"/>
        <v>0</v>
      </c>
    </row>
    <row r="44" spans="1:52" ht="33.75" customHeight="1" thickBot="1">
      <c r="A44" s="360" t="s">
        <v>36</v>
      </c>
      <c r="B44" s="364"/>
      <c r="C44" s="360"/>
      <c r="D44" s="361"/>
      <c r="E44" s="361"/>
      <c r="F44" s="58"/>
      <c r="G44" s="319" t="s">
        <v>37</v>
      </c>
      <c r="H44" s="320"/>
      <c r="I44" s="33">
        <f aca="true" t="shared" si="38" ref="I44:AX44">SUM(I4:I43)</f>
        <v>0</v>
      </c>
      <c r="J44" s="34">
        <f t="shared" si="38"/>
        <v>0</v>
      </c>
      <c r="K44" s="34">
        <f t="shared" si="38"/>
        <v>0</v>
      </c>
      <c r="L44" s="35">
        <f t="shared" si="38"/>
        <v>0</v>
      </c>
      <c r="M44" s="35">
        <f t="shared" si="38"/>
        <v>0</v>
      </c>
      <c r="N44" s="35">
        <f t="shared" si="38"/>
        <v>0</v>
      </c>
      <c r="P44" s="285">
        <f t="shared" si="38"/>
        <v>0</v>
      </c>
      <c r="Q44" s="285">
        <f t="shared" si="38"/>
        <v>0</v>
      </c>
      <c r="R44" s="285">
        <f t="shared" si="38"/>
        <v>0</v>
      </c>
      <c r="S44" s="285">
        <f t="shared" si="38"/>
        <v>0</v>
      </c>
      <c r="T44" s="285">
        <f t="shared" si="38"/>
        <v>0</v>
      </c>
      <c r="U44" s="285">
        <f t="shared" si="38"/>
        <v>0</v>
      </c>
      <c r="V44" s="285">
        <f t="shared" si="38"/>
        <v>0</v>
      </c>
      <c r="W44" s="285">
        <f t="shared" si="38"/>
        <v>0</v>
      </c>
      <c r="X44" s="285">
        <f t="shared" si="38"/>
        <v>0</v>
      </c>
      <c r="Y44" s="285">
        <f t="shared" si="38"/>
        <v>0</v>
      </c>
      <c r="Z44" s="285">
        <f>SUM(Z4:Z43)</f>
        <v>0</v>
      </c>
      <c r="AA44" s="285">
        <f>SUM(AA4:AA43)</f>
        <v>0</v>
      </c>
      <c r="AB44" s="285">
        <f t="shared" si="38"/>
        <v>0</v>
      </c>
      <c r="AC44" s="285">
        <f t="shared" si="38"/>
        <v>0</v>
      </c>
      <c r="AE44" s="286">
        <f t="shared" si="38"/>
        <v>0</v>
      </c>
      <c r="AF44" s="286">
        <f t="shared" si="38"/>
        <v>0</v>
      </c>
      <c r="AG44" s="286">
        <f t="shared" si="38"/>
        <v>0</v>
      </c>
      <c r="AH44" s="286">
        <f t="shared" si="38"/>
        <v>0</v>
      </c>
      <c r="AI44" s="286">
        <f t="shared" si="38"/>
        <v>0</v>
      </c>
      <c r="AJ44" s="286">
        <f t="shared" si="38"/>
        <v>0</v>
      </c>
      <c r="AK44" s="286">
        <f t="shared" si="38"/>
        <v>0</v>
      </c>
      <c r="AL44" s="286">
        <f t="shared" si="38"/>
        <v>0</v>
      </c>
      <c r="AM44" s="286">
        <f t="shared" si="38"/>
        <v>0</v>
      </c>
      <c r="AN44" s="286">
        <f t="shared" si="38"/>
        <v>0</v>
      </c>
      <c r="AO44" s="286">
        <f t="shared" si="38"/>
        <v>0</v>
      </c>
      <c r="AP44" s="30"/>
      <c r="AQ44" s="286">
        <f t="shared" si="38"/>
        <v>0</v>
      </c>
      <c r="AR44" s="286">
        <f t="shared" si="38"/>
        <v>0</v>
      </c>
      <c r="AS44" s="286">
        <f t="shared" si="38"/>
        <v>0</v>
      </c>
      <c r="AT44" s="286">
        <f t="shared" si="38"/>
        <v>0</v>
      </c>
      <c r="AU44" s="286">
        <f t="shared" si="38"/>
        <v>0</v>
      </c>
      <c r="AV44" s="286">
        <f t="shared" si="38"/>
        <v>0</v>
      </c>
      <c r="AW44" s="286">
        <f t="shared" si="38"/>
        <v>0</v>
      </c>
      <c r="AX44" s="286">
        <f t="shared" si="38"/>
        <v>0</v>
      </c>
      <c r="AY44" s="286">
        <f>SUM(AY4:AY43)</f>
        <v>0</v>
      </c>
      <c r="AZ44" s="286">
        <f>SUM(AZ4:AZ43)</f>
        <v>0</v>
      </c>
    </row>
    <row r="45" spans="1:14" ht="15" customHeight="1" thickBot="1">
      <c r="A45" s="357" t="s">
        <v>87</v>
      </c>
      <c r="B45" s="358"/>
      <c r="C45" s="362"/>
      <c r="D45" s="363"/>
      <c r="E45" s="363"/>
      <c r="F45" s="59"/>
      <c r="G45" s="365" t="s">
        <v>38</v>
      </c>
      <c r="H45" s="366"/>
      <c r="I45" s="40"/>
      <c r="J45" s="328">
        <f>SUM(J44:K44)</f>
        <v>0</v>
      </c>
      <c r="K45" s="323"/>
      <c r="L45" s="41"/>
      <c r="M45" s="74"/>
      <c r="N45" s="74"/>
    </row>
    <row r="46" spans="1:15" ht="15" customHeight="1" thickBot="1">
      <c r="A46" s="359" t="s">
        <v>41</v>
      </c>
      <c r="B46" s="350"/>
      <c r="C46" s="334" t="s">
        <v>46</v>
      </c>
      <c r="D46" s="335"/>
      <c r="E46" s="335"/>
      <c r="F46" s="335"/>
      <c r="G46" s="336"/>
      <c r="H46" s="337"/>
      <c r="I46" s="36">
        <f>SUMIF(H4:H43,"=1",I4:I43)</f>
        <v>0</v>
      </c>
      <c r="J46" s="37">
        <f>SUMIF(H4:H43,"=1",J4:J43)</f>
        <v>0</v>
      </c>
      <c r="K46" s="37">
        <f>SUMIF(H4:H43,"=1",K4:K43)</f>
        <v>0</v>
      </c>
      <c r="L46" s="38">
        <f>SUMIF(H4:H43,"=1",L4:L43)</f>
        <v>0</v>
      </c>
      <c r="M46" s="75"/>
      <c r="N46" s="75"/>
      <c r="O46" s="61"/>
    </row>
    <row r="47" spans="1:14" ht="15" customHeight="1" thickBot="1">
      <c r="A47" s="317" t="s">
        <v>40</v>
      </c>
      <c r="B47" s="348"/>
      <c r="C47" s="334" t="s">
        <v>47</v>
      </c>
      <c r="D47" s="335"/>
      <c r="E47" s="335"/>
      <c r="F47" s="335"/>
      <c r="G47" s="336"/>
      <c r="H47" s="337"/>
      <c r="I47" s="36">
        <f>SUMIF(H4:H43,"=2",I4:I43)</f>
        <v>0</v>
      </c>
      <c r="J47" s="37">
        <f>SUMIF(H4:H43,"=2",J4:J43)</f>
        <v>0</v>
      </c>
      <c r="K47" s="37">
        <f>SUMIF(H4:H43,"=2",K4:K43)</f>
        <v>0</v>
      </c>
      <c r="L47" s="38">
        <f>SUMIF(H4:H43,"=2",L4:L43)</f>
        <v>0</v>
      </c>
      <c r="M47" s="75"/>
      <c r="N47" s="75"/>
    </row>
    <row r="48" spans="1:14" ht="15" customHeight="1" thickBot="1">
      <c r="A48" s="349"/>
      <c r="B48" s="350"/>
      <c r="C48" s="339" t="s">
        <v>48</v>
      </c>
      <c r="D48" s="340"/>
      <c r="E48" s="340"/>
      <c r="F48" s="340"/>
      <c r="G48" s="336"/>
      <c r="H48" s="337"/>
      <c r="I48" s="36">
        <f>SUMIF(H4:H43,"=3",I4:I43)</f>
        <v>0</v>
      </c>
      <c r="J48" s="37">
        <f>SUMIF(H4:H43,"=3",J4:J43)</f>
        <v>0</v>
      </c>
      <c r="K48" s="37">
        <f>SUMIF(H4:H43,"=3",K4:K43)</f>
        <v>0</v>
      </c>
      <c r="L48" s="38">
        <f>SUMIF(H4:H43,"=3",L4:L43)</f>
        <v>0</v>
      </c>
      <c r="M48" s="75"/>
      <c r="N48" s="75"/>
    </row>
    <row r="49" spans="1:14" ht="15" customHeight="1" thickBot="1">
      <c r="A49" s="351"/>
      <c r="B49" s="352"/>
      <c r="C49" s="334" t="s">
        <v>49</v>
      </c>
      <c r="D49" s="335"/>
      <c r="E49" s="335"/>
      <c r="F49" s="335"/>
      <c r="G49" s="336"/>
      <c r="H49" s="337"/>
      <c r="I49" s="36">
        <f>SUMIF(H4:H43,"=4",I4:I43)</f>
        <v>0</v>
      </c>
      <c r="J49" s="37">
        <f>SUMIF(H4:H43,"=4",J4:J43)</f>
        <v>0</v>
      </c>
      <c r="K49" s="37">
        <f>SUMIF(H4:H43,"=4",K4:K43)</f>
        <v>0</v>
      </c>
      <c r="L49" s="38">
        <f>SUMIF(H4:H43,"=4",L4:L43)</f>
        <v>0</v>
      </c>
      <c r="M49" s="75"/>
      <c r="N49" s="75"/>
    </row>
    <row r="50" spans="1:14" ht="15" customHeight="1" thickBot="1">
      <c r="A50" s="317" t="s">
        <v>42</v>
      </c>
      <c r="B50" s="348"/>
      <c r="C50" s="334" t="s">
        <v>84</v>
      </c>
      <c r="D50" s="335"/>
      <c r="E50" s="335"/>
      <c r="F50" s="335"/>
      <c r="G50" s="336"/>
      <c r="H50" s="337"/>
      <c r="I50" s="36">
        <f>SUMIF(H4:H43,"=5",I4:I43)</f>
        <v>0</v>
      </c>
      <c r="J50" s="37">
        <f>SUMIF(H4:H43,"=5",J4:J43)</f>
        <v>0</v>
      </c>
      <c r="K50" s="37">
        <f>SUMIF(H4:H43,"=5",K4:K43)</f>
        <v>0</v>
      </c>
      <c r="L50" s="38">
        <f>SUMIF(H4:H43,"=5",L4:L43)</f>
        <v>0</v>
      </c>
      <c r="M50" s="75"/>
      <c r="N50" s="75"/>
    </row>
    <row r="51" spans="1:14" ht="15" customHeight="1" thickBot="1">
      <c r="A51" s="359"/>
      <c r="B51" s="350"/>
      <c r="C51" s="334" t="s">
        <v>50</v>
      </c>
      <c r="D51" s="336"/>
      <c r="E51" s="336"/>
      <c r="F51" s="336"/>
      <c r="G51" s="336"/>
      <c r="H51" s="337"/>
      <c r="I51" s="36">
        <f>SUMIF(H4:H43,"=6",I4:I43)</f>
        <v>0</v>
      </c>
      <c r="J51" s="37">
        <f>SUMIF(H4:H43,"=6",J4:J43)</f>
        <v>0</v>
      </c>
      <c r="K51" s="37">
        <f>SUMIF(H4:H43,"=6",K4:K43)</f>
        <v>0</v>
      </c>
      <c r="L51" s="38">
        <f>SUMIF(H4:H43,"=6",L4:L43)</f>
        <v>0</v>
      </c>
      <c r="M51" s="75"/>
      <c r="N51" s="75"/>
    </row>
    <row r="52" spans="1:14" ht="15" customHeight="1" thickBot="1">
      <c r="A52" s="351"/>
      <c r="B52" s="354"/>
      <c r="C52" s="334" t="s">
        <v>51</v>
      </c>
      <c r="D52" s="335"/>
      <c r="E52" s="335"/>
      <c r="F52" s="335"/>
      <c r="G52" s="336"/>
      <c r="H52" s="337"/>
      <c r="I52" s="36">
        <f>SUMIF(H4:H43,"=7",I4:I43)</f>
        <v>0</v>
      </c>
      <c r="J52" s="37">
        <f>SUMIF(H4:H43,"=7",J4:J43)</f>
        <v>0</v>
      </c>
      <c r="K52" s="37">
        <f>SUMIF(H4:H43,"=7",K4:K43)</f>
        <v>0</v>
      </c>
      <c r="L52" s="38">
        <f>SUMIF(H4:H43,"=7",L4:L43)</f>
        <v>0</v>
      </c>
      <c r="M52" s="75"/>
      <c r="N52" s="75"/>
    </row>
    <row r="53" spans="1:14" ht="15" customHeight="1" thickBot="1">
      <c r="A53" s="355" t="s">
        <v>43</v>
      </c>
      <c r="B53" s="356"/>
      <c r="C53" s="334" t="s">
        <v>83</v>
      </c>
      <c r="D53" s="335"/>
      <c r="E53" s="335"/>
      <c r="F53" s="335"/>
      <c r="G53" s="336"/>
      <c r="H53" s="337"/>
      <c r="I53" s="36">
        <f>SUMIF(H4:H43,"=8",I4:I43)</f>
        <v>0</v>
      </c>
      <c r="J53" s="37">
        <f>SUMIF(H4:H43,"=8",J4:J43)</f>
        <v>0</v>
      </c>
      <c r="K53" s="37">
        <f>SUMIF(H4:H43,"=8",K4:K43)</f>
        <v>0</v>
      </c>
      <c r="L53" s="38">
        <f>SUMIF(H4:H43,"=8",L4:L43)</f>
        <v>0</v>
      </c>
      <c r="M53" s="75"/>
      <c r="N53" s="75"/>
    </row>
    <row r="54" spans="1:14" ht="15" customHeight="1" thickBot="1">
      <c r="A54" s="317" t="s">
        <v>44</v>
      </c>
      <c r="B54" s="353"/>
      <c r="C54" s="334" t="s">
        <v>89</v>
      </c>
      <c r="D54" s="335"/>
      <c r="E54" s="335"/>
      <c r="F54" s="335"/>
      <c r="G54" s="336"/>
      <c r="H54" s="337"/>
      <c r="I54" s="36">
        <f>SUMIF(H4:H43,"=9",I4:I43)</f>
        <v>0</v>
      </c>
      <c r="J54" s="37">
        <f>SUMIF(H4:H43,"=9",J4:J43)</f>
        <v>0</v>
      </c>
      <c r="K54" s="37">
        <f>SUMIF(H4:H43,"=9",K4:K43)</f>
        <v>0</v>
      </c>
      <c r="L54" s="38">
        <f>SUMIF(H4:H43,"=9",L4:L43)</f>
        <v>0</v>
      </c>
      <c r="M54" s="75"/>
      <c r="N54" s="75"/>
    </row>
    <row r="55" spans="1:14" ht="15" customHeight="1" thickBot="1">
      <c r="A55" s="351"/>
      <c r="B55" s="354"/>
      <c r="C55" s="334" t="s">
        <v>90</v>
      </c>
      <c r="D55" s="335"/>
      <c r="E55" s="335"/>
      <c r="F55" s="335"/>
      <c r="G55" s="336"/>
      <c r="H55" s="337"/>
      <c r="I55" s="36">
        <f>SUMIF(H4:H43,"=10",I4:I43)</f>
        <v>0</v>
      </c>
      <c r="J55" s="37">
        <f>SUMIF(H4:H43,"=10",J4:J43)</f>
        <v>0</v>
      </c>
      <c r="K55" s="37">
        <f>SUMIF(H4:H43,"=10",K4:K43)</f>
        <v>0</v>
      </c>
      <c r="L55" s="38">
        <f>SUMIF(H4:H43,"=10",L4:L43)</f>
        <v>0</v>
      </c>
      <c r="M55" s="75"/>
      <c r="N55" s="75"/>
    </row>
    <row r="56" spans="1:14" ht="21.75" customHeight="1" thickBot="1">
      <c r="A56" s="355" t="s">
        <v>45</v>
      </c>
      <c r="B56" s="356"/>
      <c r="C56" s="334" t="s">
        <v>91</v>
      </c>
      <c r="D56" s="335"/>
      <c r="E56" s="335"/>
      <c r="F56" s="335"/>
      <c r="G56" s="336"/>
      <c r="H56" s="337"/>
      <c r="I56" s="36">
        <f>SUMIF(H4:H43,"=11",I4:I43)</f>
        <v>0</v>
      </c>
      <c r="J56" s="37">
        <f>SUMIF(H4:H43,"=11",J4:J43)</f>
        <v>0</v>
      </c>
      <c r="K56" s="37">
        <f>SUMIF(H4:H43,"=11",K4:K43)</f>
        <v>0</v>
      </c>
      <c r="L56" s="38">
        <f>SUMIF(H4:H43,"=11",L4:L43)</f>
        <v>0</v>
      </c>
      <c r="M56" s="75"/>
      <c r="N56" s="75"/>
    </row>
    <row r="57" ht="12.75">
      <c r="A57" s="39"/>
    </row>
    <row r="58" spans="1:14" ht="14.25" customHeight="1">
      <c r="A58" s="318" t="s">
        <v>55</v>
      </c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62"/>
      <c r="N58" s="62"/>
    </row>
    <row r="61" spans="1:3" ht="12.75" hidden="1">
      <c r="A61" s="23" t="s">
        <v>79</v>
      </c>
      <c r="B61" s="7" t="s">
        <v>82</v>
      </c>
      <c r="C61" s="22" t="s">
        <v>100</v>
      </c>
    </row>
    <row r="62" spans="1:2" ht="12.75" hidden="1">
      <c r="A62" s="55">
        <v>0</v>
      </c>
      <c r="B62" s="54" t="s">
        <v>80</v>
      </c>
    </row>
    <row r="63" spans="1:3" ht="12.75" hidden="1">
      <c r="A63" s="53" t="s">
        <v>57</v>
      </c>
      <c r="B63" s="54">
        <v>1</v>
      </c>
      <c r="C63" s="67"/>
    </row>
    <row r="64" spans="1:3" ht="12.75" hidden="1">
      <c r="A64" s="53" t="s">
        <v>59</v>
      </c>
      <c r="B64" s="54">
        <v>1</v>
      </c>
      <c r="C64" s="67"/>
    </row>
    <row r="65" spans="1:3" ht="12.75" hidden="1">
      <c r="A65" s="53" t="s">
        <v>56</v>
      </c>
      <c r="B65" s="54">
        <v>2</v>
      </c>
      <c r="C65" s="67"/>
    </row>
    <row r="66" spans="1:3" ht="12.75" hidden="1">
      <c r="A66" s="53" t="s">
        <v>58</v>
      </c>
      <c r="B66" s="54">
        <v>2</v>
      </c>
      <c r="C66" s="67"/>
    </row>
    <row r="67" spans="1:3" ht="12.75" hidden="1">
      <c r="A67" s="53" t="s">
        <v>60</v>
      </c>
      <c r="B67" s="54">
        <v>2</v>
      </c>
      <c r="C67" s="67"/>
    </row>
    <row r="68" spans="1:3" ht="12.75" hidden="1">
      <c r="A68" s="53" t="s">
        <v>61</v>
      </c>
      <c r="B68" s="54">
        <v>3</v>
      </c>
      <c r="C68" s="67"/>
    </row>
    <row r="69" spans="1:3" ht="12.75" hidden="1">
      <c r="A69" s="53" t="s">
        <v>63</v>
      </c>
      <c r="B69" s="54">
        <v>4</v>
      </c>
      <c r="C69" s="67"/>
    </row>
    <row r="70" spans="1:3" ht="12.75" hidden="1">
      <c r="A70" s="53" t="s">
        <v>62</v>
      </c>
      <c r="B70" s="54">
        <v>3</v>
      </c>
      <c r="C70" s="67"/>
    </row>
    <row r="71" spans="1:3" ht="12.75" hidden="1">
      <c r="A71" s="53" t="s">
        <v>64</v>
      </c>
      <c r="B71" s="54">
        <v>5</v>
      </c>
      <c r="C71" s="67"/>
    </row>
    <row r="72" spans="1:3" ht="12.75" hidden="1">
      <c r="A72" s="53" t="s">
        <v>68</v>
      </c>
      <c r="B72" s="54">
        <v>5</v>
      </c>
      <c r="C72" s="67"/>
    </row>
    <row r="73" spans="1:3" ht="12.75" hidden="1">
      <c r="A73" s="53" t="s">
        <v>65</v>
      </c>
      <c r="B73" s="54">
        <v>5</v>
      </c>
      <c r="C73" s="67"/>
    </row>
    <row r="74" spans="1:3" ht="12.75" hidden="1">
      <c r="A74" s="53" t="s">
        <v>81</v>
      </c>
      <c r="B74" s="54">
        <v>5</v>
      </c>
      <c r="C74" s="67"/>
    </row>
    <row r="75" spans="1:3" ht="12.75" hidden="1">
      <c r="A75" s="53" t="s">
        <v>66</v>
      </c>
      <c r="B75" s="54">
        <v>5</v>
      </c>
      <c r="C75" s="67"/>
    </row>
    <row r="76" spans="1:3" ht="12.75" hidden="1">
      <c r="A76" s="53" t="s">
        <v>67</v>
      </c>
      <c r="B76" s="54">
        <v>5</v>
      </c>
      <c r="C76" s="67"/>
    </row>
    <row r="77" spans="1:3" ht="12.75" hidden="1">
      <c r="A77" s="53" t="s">
        <v>69</v>
      </c>
      <c r="B77" s="54">
        <v>6</v>
      </c>
      <c r="C77" s="67"/>
    </row>
    <row r="78" spans="1:2" ht="12.75" hidden="1">
      <c r="A78" s="53" t="s">
        <v>70</v>
      </c>
      <c r="B78" s="54">
        <v>7</v>
      </c>
    </row>
    <row r="79" spans="1:2" ht="12.75" hidden="1">
      <c r="A79" s="53" t="s">
        <v>85</v>
      </c>
      <c r="B79" s="54">
        <v>8</v>
      </c>
    </row>
    <row r="80" spans="1:2" ht="12.75" hidden="1">
      <c r="A80" s="53" t="s">
        <v>71</v>
      </c>
      <c r="B80" s="54">
        <v>8</v>
      </c>
    </row>
    <row r="81" spans="1:2" ht="12.75" hidden="1">
      <c r="A81" s="53" t="s">
        <v>72</v>
      </c>
      <c r="B81" s="54">
        <v>8</v>
      </c>
    </row>
    <row r="82" spans="1:2" ht="12.75" hidden="1">
      <c r="A82" s="53" t="s">
        <v>73</v>
      </c>
      <c r="B82" s="54">
        <v>9</v>
      </c>
    </row>
    <row r="83" spans="1:2" ht="12.75" hidden="1">
      <c r="A83" s="53" t="s">
        <v>74</v>
      </c>
      <c r="B83" s="54">
        <v>10</v>
      </c>
    </row>
    <row r="84" spans="1:2" ht="12.75" hidden="1">
      <c r="A84" s="53" t="s">
        <v>75</v>
      </c>
      <c r="B84" s="54">
        <v>10</v>
      </c>
    </row>
    <row r="85" spans="1:2" ht="12.75" hidden="1">
      <c r="A85" s="53" t="s">
        <v>76</v>
      </c>
      <c r="B85" s="54">
        <v>10</v>
      </c>
    </row>
    <row r="86" spans="1:2" ht="12.75" hidden="1">
      <c r="A86" s="53" t="s">
        <v>77</v>
      </c>
      <c r="B86" s="54">
        <v>11</v>
      </c>
    </row>
    <row r="87" spans="1:2" ht="12.75" hidden="1">
      <c r="A87" s="53" t="s">
        <v>78</v>
      </c>
      <c r="B87" s="54">
        <v>11</v>
      </c>
    </row>
    <row r="88" ht="12.75" hidden="1"/>
    <row r="89" ht="12.75" hidden="1"/>
    <row r="90" ht="12.75" hidden="1"/>
    <row r="91" ht="12.75" hidden="1">
      <c r="A91" s="60" t="s">
        <v>92</v>
      </c>
    </row>
    <row r="92" ht="12.75" hidden="1">
      <c r="A92" t="s">
        <v>9</v>
      </c>
    </row>
    <row r="93" ht="12.75" hidden="1">
      <c r="A93" t="s">
        <v>93</v>
      </c>
    </row>
    <row r="94" ht="12.75" hidden="1">
      <c r="A94" t="s">
        <v>94</v>
      </c>
    </row>
    <row r="95" ht="12.75" hidden="1"/>
    <row r="96" ht="12.75" hidden="1"/>
    <row r="97" ht="12.75" hidden="1">
      <c r="A97" s="22" t="s">
        <v>121</v>
      </c>
    </row>
    <row r="98" ht="12.75" hidden="1">
      <c r="A98" t="s">
        <v>122</v>
      </c>
    </row>
    <row r="99" ht="12.75" hidden="1">
      <c r="A99" t="s">
        <v>123</v>
      </c>
    </row>
    <row r="100" ht="12.75" hidden="1">
      <c r="A100" t="s">
        <v>124</v>
      </c>
    </row>
    <row r="101" ht="12.75" hidden="1"/>
  </sheetData>
  <sheetProtection sheet="1" selectLockedCells="1"/>
  <mergeCells count="38">
    <mergeCell ref="G45:H45"/>
    <mergeCell ref="A46:B46"/>
    <mergeCell ref="C46:H46"/>
    <mergeCell ref="A1:L1"/>
    <mergeCell ref="A2:A3"/>
    <mergeCell ref="B2:B3"/>
    <mergeCell ref="C2:C3"/>
    <mergeCell ref="E2:E3"/>
    <mergeCell ref="D2:D3"/>
    <mergeCell ref="G2:N2"/>
    <mergeCell ref="A45:B45"/>
    <mergeCell ref="A50:B52"/>
    <mergeCell ref="C44:E45"/>
    <mergeCell ref="A44:B44"/>
    <mergeCell ref="C56:H56"/>
    <mergeCell ref="C50:H50"/>
    <mergeCell ref="A56:B56"/>
    <mergeCell ref="C51:H51"/>
    <mergeCell ref="F2:F3"/>
    <mergeCell ref="G44:H44"/>
    <mergeCell ref="A58:L58"/>
    <mergeCell ref="C55:H55"/>
    <mergeCell ref="C49:H49"/>
    <mergeCell ref="A47:B49"/>
    <mergeCell ref="A54:B55"/>
    <mergeCell ref="C52:H52"/>
    <mergeCell ref="C53:H53"/>
    <mergeCell ref="A53:B53"/>
    <mergeCell ref="O2:O3"/>
    <mergeCell ref="C54:H54"/>
    <mergeCell ref="AQ2:AZ2"/>
    <mergeCell ref="C47:H47"/>
    <mergeCell ref="C48:H48"/>
    <mergeCell ref="V2:AC2"/>
    <mergeCell ref="AM2:AO2"/>
    <mergeCell ref="AE2:AL2"/>
    <mergeCell ref="J45:K45"/>
    <mergeCell ref="P2:U2"/>
  </mergeCells>
  <dataValidations count="2">
    <dataValidation type="list" allowBlank="1" showInputMessage="1" showErrorMessage="1" sqref="F4:F43">
      <formula1>$A$92:$A$94</formula1>
    </dataValidation>
    <dataValidation errorStyle="warning" type="list" allowBlank="1" showErrorMessage="1" errorTitle="ATTENZIONE!" error="Inserisci un valore dall'elenco" sqref="G4:G43">
      <formula1>$A$62:$A$87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5" r:id="rId3"/>
  <headerFooter alignWithMargins="0">
    <oddHeader>&amp;C&amp;A&amp;RCOMUNE DI CARPI
Servizio Edilizia Privata</oddHeader>
    <oddFooter>&amp;L&amp;F&amp;R&amp;D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T79"/>
  <sheetViews>
    <sheetView tabSelected="1" zoomScale="150" zoomScaleNormal="150" zoomScalePageLayoutView="0" workbookViewId="0" topLeftCell="A1">
      <selection activeCell="B3" sqref="B3:B5"/>
    </sheetView>
  </sheetViews>
  <sheetFormatPr defaultColWidth="9.140625" defaultRowHeight="12.75"/>
  <cols>
    <col min="1" max="1" width="14.00390625" style="0" customWidth="1"/>
    <col min="2" max="2" width="22.7109375" style="0" customWidth="1"/>
    <col min="3" max="3" width="12.28125" style="0" customWidth="1"/>
    <col min="4" max="4" width="3.8515625" style="21" customWidth="1"/>
    <col min="5" max="5" width="12.421875" style="0" customWidth="1"/>
    <col min="6" max="6" width="3.7109375" style="21" customWidth="1"/>
    <col min="7" max="7" width="8.8515625" style="0" customWidth="1"/>
    <col min="8" max="8" width="3.7109375" style="21" customWidth="1"/>
    <col min="9" max="9" width="8.28125" style="0" customWidth="1"/>
    <col min="10" max="10" width="10.7109375" style="21" customWidth="1"/>
    <col min="11" max="11" width="10.7109375" style="4" customWidth="1"/>
    <col min="12" max="12" width="3.7109375" style="0" hidden="1" customWidth="1"/>
    <col min="13" max="13" width="10.7109375" style="92" hidden="1" customWidth="1"/>
    <col min="14" max="14" width="3.57421875" style="0" hidden="1" customWidth="1"/>
    <col min="15" max="15" width="10.7109375" style="0" hidden="1" customWidth="1"/>
    <col min="16" max="16" width="3.57421875" style="0" hidden="1" customWidth="1"/>
    <col min="17" max="18" width="10.7109375" style="0" hidden="1" customWidth="1"/>
    <col min="19" max="20" width="10.7109375" style="0" customWidth="1"/>
  </cols>
  <sheetData>
    <row r="1" spans="1:11" ht="22.5" customHeight="1">
      <c r="A1" s="454" t="str">
        <f>'COSTO valori OMI'!A15</f>
        <v>TARIFFE IN VIGORE DAL 23/01/2024</v>
      </c>
      <c r="B1" s="455"/>
      <c r="C1" s="455"/>
      <c r="D1" s="455"/>
      <c r="E1" s="455"/>
      <c r="F1" s="455"/>
      <c r="G1" s="455"/>
      <c r="H1" s="455"/>
      <c r="I1" s="455"/>
      <c r="J1" s="455"/>
      <c r="K1" s="456"/>
    </row>
    <row r="2" spans="1:11" ht="12" customHeight="1" thickBot="1">
      <c r="A2" s="459"/>
      <c r="B2" s="460"/>
      <c r="C2" s="460"/>
      <c r="D2" s="460"/>
      <c r="E2" s="460"/>
      <c r="F2" s="460"/>
      <c r="G2" s="460"/>
      <c r="H2" s="460"/>
      <c r="I2" s="460"/>
      <c r="J2" s="460"/>
      <c r="K2" s="461"/>
    </row>
    <row r="3" spans="1:11" ht="30" customHeight="1">
      <c r="A3" s="462" t="s">
        <v>115</v>
      </c>
      <c r="B3" s="465" t="s">
        <v>122</v>
      </c>
      <c r="C3" s="100"/>
      <c r="D3" s="9"/>
      <c r="E3" s="122" t="s">
        <v>138</v>
      </c>
      <c r="F3" s="9"/>
      <c r="G3" s="9"/>
      <c r="H3" s="9"/>
      <c r="I3" s="122" t="s">
        <v>137</v>
      </c>
      <c r="J3" s="9"/>
      <c r="K3" s="303" t="s">
        <v>326</v>
      </c>
    </row>
    <row r="4" spans="1:10" ht="12.75" customHeight="1">
      <c r="A4" s="463"/>
      <c r="B4" s="466"/>
      <c r="C4" s="9"/>
      <c r="D4" s="121" t="s">
        <v>135</v>
      </c>
      <c r="E4" s="302">
        <v>0</v>
      </c>
      <c r="F4" s="9"/>
      <c r="G4" s="9"/>
      <c r="H4" s="121" t="s">
        <v>135</v>
      </c>
      <c r="I4" s="302">
        <v>0</v>
      </c>
      <c r="J4" s="9"/>
    </row>
    <row r="5" spans="1:11" ht="12.75" customHeight="1" thickBot="1">
      <c r="A5" s="464"/>
      <c r="B5" s="467"/>
      <c r="C5" s="9"/>
      <c r="D5" s="121" t="s">
        <v>136</v>
      </c>
      <c r="E5" s="302">
        <v>0</v>
      </c>
      <c r="F5" s="9"/>
      <c r="G5" s="9"/>
      <c r="H5" s="121" t="s">
        <v>136</v>
      </c>
      <c r="I5" s="302">
        <v>0</v>
      </c>
      <c r="J5" s="9"/>
      <c r="K5"/>
    </row>
    <row r="6" spans="1:11" ht="6.7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280"/>
    </row>
    <row r="7" spans="1:11" ht="19.5" customHeight="1">
      <c r="A7" s="5"/>
      <c r="B7" s="12" t="s">
        <v>4</v>
      </c>
      <c r="C7" s="13" t="s">
        <v>5</v>
      </c>
      <c r="D7" s="12"/>
      <c r="E7" s="12" t="s">
        <v>6</v>
      </c>
      <c r="F7" s="12"/>
      <c r="G7" s="12" t="s">
        <v>110</v>
      </c>
      <c r="H7" s="12"/>
      <c r="I7" s="12" t="s">
        <v>7</v>
      </c>
      <c r="J7" s="12"/>
      <c r="K7" s="27" t="s">
        <v>8</v>
      </c>
    </row>
    <row r="8" spans="1:11" ht="12.75">
      <c r="A8" s="441" t="s">
        <v>119</v>
      </c>
      <c r="B8" s="457"/>
      <c r="C8" s="458"/>
      <c r="D8" s="458"/>
      <c r="E8" s="458"/>
      <c r="F8" s="458"/>
      <c r="G8" s="458"/>
      <c r="H8" s="458"/>
      <c r="I8" s="458"/>
      <c r="J8" s="458"/>
      <c r="K8" s="458"/>
    </row>
    <row r="9" spans="1:17" ht="12.75" customHeight="1">
      <c r="A9" s="442"/>
      <c r="B9" s="445" t="s">
        <v>125</v>
      </c>
      <c r="C9" s="106" t="s">
        <v>9</v>
      </c>
      <c r="D9" s="107" t="s">
        <v>0</v>
      </c>
      <c r="E9" s="108">
        <f>M9*Q9*(100%+E$4)</f>
        <v>101.27</v>
      </c>
      <c r="F9" s="107" t="s">
        <v>1</v>
      </c>
      <c r="G9" s="109">
        <f>SUMIF(Superfici!$F$4:$F$43,"NC",Superfici!$AE$4:$AE$43)</f>
        <v>0</v>
      </c>
      <c r="H9" s="107" t="s">
        <v>1</v>
      </c>
      <c r="I9" s="110">
        <f aca="true" t="shared" si="0" ref="I9:I15">100%+I$4</f>
        <v>1</v>
      </c>
      <c r="J9" s="107" t="s">
        <v>0</v>
      </c>
      <c r="K9" s="111">
        <f aca="true" t="shared" si="1" ref="K9:K20">SUM(E9*G9*I9)</f>
        <v>0</v>
      </c>
      <c r="M9" s="329">
        <v>101.27</v>
      </c>
      <c r="O9" s="97">
        <v>46.75</v>
      </c>
      <c r="Q9" s="95">
        <f>IF($B$3="interna al Territorio Urbanizzato",0.55,1)</f>
        <v>1</v>
      </c>
    </row>
    <row r="10" spans="1:17" ht="12.75">
      <c r="A10" s="442"/>
      <c r="B10" s="445"/>
      <c r="C10" s="112" t="s">
        <v>10</v>
      </c>
      <c r="D10" s="113" t="s">
        <v>0</v>
      </c>
      <c r="E10" s="108">
        <f>M10*Q10*(100%+E$4)</f>
        <v>70.889</v>
      </c>
      <c r="F10" s="113" t="s">
        <v>1</v>
      </c>
      <c r="G10" s="109">
        <f>SUMIF(Superfici!$F$4:$F$43,"RE con CU",Superfici!$AE$4:$AE$43)</f>
        <v>0</v>
      </c>
      <c r="H10" s="113" t="s">
        <v>1</v>
      </c>
      <c r="I10" s="110">
        <f t="shared" si="0"/>
        <v>1</v>
      </c>
      <c r="J10" s="113" t="s">
        <v>0</v>
      </c>
      <c r="K10" s="111">
        <f t="shared" si="1"/>
        <v>0</v>
      </c>
      <c r="M10" s="329">
        <v>101.27</v>
      </c>
      <c r="O10" s="98">
        <v>38.25</v>
      </c>
      <c r="Q10" s="95">
        <f>IF($B$3="interna al Territorio Urbanizzato",0.45,0.7)</f>
        <v>0.7</v>
      </c>
    </row>
    <row r="11" spans="1:17" ht="12.75">
      <c r="A11" s="442"/>
      <c r="B11" s="446"/>
      <c r="C11" s="114" t="s">
        <v>11</v>
      </c>
      <c r="D11" s="115" t="s">
        <v>0</v>
      </c>
      <c r="E11" s="116">
        <f>M11*Q11*(100%+E$4)</f>
        <v>10.127</v>
      </c>
      <c r="F11" s="115" t="s">
        <v>1</v>
      </c>
      <c r="G11" s="117">
        <f>SUMIF(Superfici!$F$4:$F$43,"RE senza CU",Superfici!$AE$4:$AE$43)</f>
        <v>0</v>
      </c>
      <c r="H11" s="115" t="s">
        <v>1</v>
      </c>
      <c r="I11" s="304">
        <f t="shared" si="0"/>
        <v>1</v>
      </c>
      <c r="J11" s="115" t="s">
        <v>0</v>
      </c>
      <c r="K11" s="118">
        <f t="shared" si="1"/>
        <v>0</v>
      </c>
      <c r="M11" s="329">
        <v>101.27</v>
      </c>
      <c r="O11" s="99">
        <v>8.5</v>
      </c>
      <c r="Q11" s="96">
        <f>IF($B$3="interna al Territorio Urbanizzato",0.1,0.1)</f>
        <v>0.1</v>
      </c>
    </row>
    <row r="12" spans="1:17" ht="12.75" customHeight="1">
      <c r="A12" s="442"/>
      <c r="B12" s="452" t="s">
        <v>117</v>
      </c>
      <c r="C12" s="106" t="s">
        <v>9</v>
      </c>
      <c r="D12" s="107" t="s">
        <v>0</v>
      </c>
      <c r="E12" s="108">
        <f>M12*Q12*(100%+E$4)</f>
        <v>101.27</v>
      </c>
      <c r="F12" s="107" t="s">
        <v>1</v>
      </c>
      <c r="G12" s="109">
        <f>SUMIF(Superfici!$F$4:$F$43,"NC",Superfici!$AF$4:$AF$43)</f>
        <v>0</v>
      </c>
      <c r="H12" s="107" t="s">
        <v>1</v>
      </c>
      <c r="I12" s="110">
        <f t="shared" si="0"/>
        <v>1</v>
      </c>
      <c r="J12" s="107" t="s">
        <v>0</v>
      </c>
      <c r="K12" s="111">
        <f t="shared" si="1"/>
        <v>0</v>
      </c>
      <c r="M12" s="329">
        <f>M9</f>
        <v>101.27</v>
      </c>
      <c r="O12" s="97">
        <v>46.75</v>
      </c>
      <c r="Q12" s="95">
        <f>IF($B$3="interna al Territorio Urbanizzato",0.6,1)</f>
        <v>1</v>
      </c>
    </row>
    <row r="13" spans="1:17" ht="12.75">
      <c r="A13" s="442"/>
      <c r="B13" s="453"/>
      <c r="C13" s="112" t="s">
        <v>10</v>
      </c>
      <c r="D13" s="113" t="s">
        <v>0</v>
      </c>
      <c r="E13" s="108">
        <f>M13*Q13*(100%+E$4)</f>
        <v>70.889</v>
      </c>
      <c r="F13" s="113" t="s">
        <v>1</v>
      </c>
      <c r="G13" s="109">
        <f>SUMIF(Superfici!$F$4:$F$43,"RE con CU",Superfici!$AF$4:$AF$43)</f>
        <v>0</v>
      </c>
      <c r="H13" s="113" t="s">
        <v>1</v>
      </c>
      <c r="I13" s="110">
        <f t="shared" si="0"/>
        <v>1</v>
      </c>
      <c r="J13" s="113" t="s">
        <v>0</v>
      </c>
      <c r="K13" s="111">
        <f t="shared" si="1"/>
        <v>0</v>
      </c>
      <c r="M13" s="329">
        <f>M10</f>
        <v>101.27</v>
      </c>
      <c r="O13" s="98">
        <v>38.25</v>
      </c>
      <c r="Q13" s="95">
        <f>IF($B$3="interna al Territorio Urbanizzato",0.5,0.7)</f>
        <v>0.7</v>
      </c>
    </row>
    <row r="14" spans="1:17" ht="12.75">
      <c r="A14" s="442"/>
      <c r="B14" s="274" t="s">
        <v>105</v>
      </c>
      <c r="C14" s="114" t="s">
        <v>11</v>
      </c>
      <c r="D14" s="115" t="s">
        <v>0</v>
      </c>
      <c r="E14" s="116">
        <f>M14*Q14*(100%+E$4)</f>
        <v>30.380999999999997</v>
      </c>
      <c r="F14" s="115" t="s">
        <v>1</v>
      </c>
      <c r="G14" s="117">
        <f>SUMIF(Superfici!$F$4:$F$43,"RE senza CU",Superfici!$AG$4:$AG$43)</f>
        <v>0</v>
      </c>
      <c r="H14" s="115" t="s">
        <v>1</v>
      </c>
      <c r="I14" s="110">
        <f t="shared" si="0"/>
        <v>1</v>
      </c>
      <c r="J14" s="115" t="s">
        <v>0</v>
      </c>
      <c r="K14" s="118">
        <f t="shared" si="1"/>
        <v>0</v>
      </c>
      <c r="M14" s="329">
        <f>M11</f>
        <v>101.27</v>
      </c>
      <c r="O14" s="99">
        <v>8.5</v>
      </c>
      <c r="Q14" s="96">
        <f>IF($B$3="interna al Territorio Urbanizzato",0.3,0.3)</f>
        <v>0.3</v>
      </c>
    </row>
    <row r="15" spans="1:17" ht="12.75" customHeight="1">
      <c r="A15" s="442"/>
      <c r="B15" s="437" t="s">
        <v>305</v>
      </c>
      <c r="C15" s="447" t="s">
        <v>11</v>
      </c>
      <c r="D15" s="282"/>
      <c r="E15" s="468">
        <f>M15*Q15*(100%+E$4)</f>
        <v>20.254</v>
      </c>
      <c r="F15" s="282"/>
      <c r="G15" s="471">
        <f>SUM(SUMIF(Superfici!$F$4:$F$43,"RE senza CU",Superfici!$AI$4:$AI$43),SUMIF(Superfici!$F$4:$F$43,"RE senza CU",Superfici!$AH$4:$AH$43))</f>
        <v>0</v>
      </c>
      <c r="H15" s="282"/>
      <c r="I15" s="475">
        <f t="shared" si="0"/>
        <v>1</v>
      </c>
      <c r="J15" s="282"/>
      <c r="K15" s="472">
        <f>SUM(E15*G15*I15)</f>
        <v>0</v>
      </c>
      <c r="M15" s="478">
        <v>101.27</v>
      </c>
      <c r="O15" s="484">
        <v>22</v>
      </c>
      <c r="Q15" s="481">
        <f>IF($B$3="interna al Territorio Urbanizzato",0.2,0.2)</f>
        <v>0.2</v>
      </c>
    </row>
    <row r="16" spans="1:17" ht="12.75">
      <c r="A16" s="442"/>
      <c r="B16" s="438"/>
      <c r="C16" s="448"/>
      <c r="D16" s="283" t="s">
        <v>0</v>
      </c>
      <c r="E16" s="469"/>
      <c r="F16" s="283" t="s">
        <v>1</v>
      </c>
      <c r="G16" s="469"/>
      <c r="H16" s="283" t="s">
        <v>1</v>
      </c>
      <c r="I16" s="476"/>
      <c r="J16" s="283" t="s">
        <v>0</v>
      </c>
      <c r="K16" s="473"/>
      <c r="M16" s="479"/>
      <c r="O16" s="485"/>
      <c r="Q16" s="482"/>
    </row>
    <row r="17" spans="1:17" ht="12.75">
      <c r="A17" s="442"/>
      <c r="B17" s="438"/>
      <c r="C17" s="449"/>
      <c r="D17" s="284"/>
      <c r="E17" s="470"/>
      <c r="F17" s="284"/>
      <c r="G17" s="470"/>
      <c r="H17" s="284"/>
      <c r="I17" s="477"/>
      <c r="J17" s="284"/>
      <c r="K17" s="474"/>
      <c r="M17" s="480"/>
      <c r="O17" s="486"/>
      <c r="Q17" s="483"/>
    </row>
    <row r="18" spans="1:17" ht="12.75" customHeight="1">
      <c r="A18" s="442"/>
      <c r="B18" s="415" t="s">
        <v>116</v>
      </c>
      <c r="C18" s="106" t="s">
        <v>9</v>
      </c>
      <c r="D18" s="107" t="s">
        <v>0</v>
      </c>
      <c r="E18" s="108">
        <f>M18*Q18*(100%+E$4)</f>
        <v>28.59</v>
      </c>
      <c r="F18" s="107" t="s">
        <v>1</v>
      </c>
      <c r="G18" s="109">
        <f>SUMIF(Superfici!$F$4:$F$43,"NC",Superfici!$AJ$4:$AJ$43)</f>
        <v>0</v>
      </c>
      <c r="H18" s="107" t="s">
        <v>1</v>
      </c>
      <c r="I18" s="110">
        <f>100%+I$4</f>
        <v>1</v>
      </c>
      <c r="J18" s="107" t="s">
        <v>0</v>
      </c>
      <c r="K18" s="111">
        <f t="shared" si="1"/>
        <v>0</v>
      </c>
      <c r="M18" s="329">
        <v>28.59</v>
      </c>
      <c r="O18" s="97">
        <v>14.4</v>
      </c>
      <c r="Q18" s="95">
        <f>IF($B$3="interna al Territorio Urbanizzato",0.6,1)</f>
        <v>1</v>
      </c>
    </row>
    <row r="19" spans="1:17" ht="12.75">
      <c r="A19" s="442"/>
      <c r="B19" s="415"/>
      <c r="C19" s="112" t="s">
        <v>10</v>
      </c>
      <c r="D19" s="113" t="s">
        <v>0</v>
      </c>
      <c r="E19" s="108">
        <f>M19*Q19*(100%+E$4)</f>
        <v>28.59</v>
      </c>
      <c r="F19" s="113" t="s">
        <v>1</v>
      </c>
      <c r="G19" s="109">
        <f>SUMIF(Superfici!$F$4:$F$43,"RE con CU",Superfici!$AJ$4:$AJ$43)</f>
        <v>0</v>
      </c>
      <c r="H19" s="113" t="s">
        <v>1</v>
      </c>
      <c r="I19" s="110">
        <f>100%+I$4</f>
        <v>1</v>
      </c>
      <c r="J19" s="113" t="s">
        <v>0</v>
      </c>
      <c r="K19" s="111">
        <f t="shared" si="1"/>
        <v>0</v>
      </c>
      <c r="M19" s="329">
        <v>28.59</v>
      </c>
      <c r="O19" s="98">
        <v>12</v>
      </c>
      <c r="Q19" s="95">
        <f>IF($B$3="interna al Territorio Urbanizzato",0.5,1)</f>
        <v>1</v>
      </c>
    </row>
    <row r="20" spans="1:17" ht="12.75">
      <c r="A20" s="443"/>
      <c r="B20" s="416"/>
      <c r="C20" s="114" t="s">
        <v>11</v>
      </c>
      <c r="D20" s="115" t="s">
        <v>0</v>
      </c>
      <c r="E20" s="108">
        <f>M20*Q20*(100%+E$4)</f>
        <v>8.577</v>
      </c>
      <c r="F20" s="115" t="s">
        <v>1</v>
      </c>
      <c r="G20" s="117">
        <f>SUMIF(Superfici!$F$4:$F$43,"RE senza CU",Superfici!$AJ$4:$AJ$43)</f>
        <v>0</v>
      </c>
      <c r="H20" s="115" t="s">
        <v>1</v>
      </c>
      <c r="I20" s="110">
        <f>100%+I$4</f>
        <v>1</v>
      </c>
      <c r="J20" s="115" t="s">
        <v>0</v>
      </c>
      <c r="K20" s="118">
        <f t="shared" si="1"/>
        <v>0</v>
      </c>
      <c r="M20" s="329">
        <v>28.59</v>
      </c>
      <c r="O20" s="99">
        <v>7.2</v>
      </c>
      <c r="Q20" s="96">
        <f>IF($B$3="interna al Territorio Urbanizzato",0.3,0.3)</f>
        <v>0.3</v>
      </c>
    </row>
    <row r="21" spans="1:11" ht="12.75">
      <c r="A21" s="439"/>
      <c r="B21" s="439"/>
      <c r="C21" s="439"/>
      <c r="D21" s="440"/>
      <c r="E21" s="439"/>
      <c r="F21" s="440"/>
      <c r="G21" s="439"/>
      <c r="H21" s="440"/>
      <c r="I21" s="439"/>
      <c r="J21" s="440"/>
      <c r="K21" s="384"/>
    </row>
    <row r="22" spans="2:11" ht="19.5" customHeight="1">
      <c r="B22" s="12" t="s">
        <v>4</v>
      </c>
      <c r="C22" s="13" t="s">
        <v>5</v>
      </c>
      <c r="D22" s="12"/>
      <c r="E22" s="12" t="s">
        <v>6</v>
      </c>
      <c r="F22" s="12"/>
      <c r="G22" s="12" t="s">
        <v>110</v>
      </c>
      <c r="H22" s="12"/>
      <c r="I22" s="12" t="s">
        <v>7</v>
      </c>
      <c r="J22" s="12"/>
      <c r="K22" s="27" t="s">
        <v>8</v>
      </c>
    </row>
    <row r="23" spans="1:11" ht="12.75">
      <c r="A23" s="441" t="s">
        <v>118</v>
      </c>
      <c r="B23" s="3"/>
      <c r="C23" s="3"/>
      <c r="D23" s="3"/>
      <c r="E23" s="3"/>
      <c r="F23" s="3"/>
      <c r="G23" s="14"/>
      <c r="H23" s="3"/>
      <c r="I23" s="14"/>
      <c r="J23" s="3"/>
      <c r="K23" s="26"/>
    </row>
    <row r="24" spans="1:17" ht="12.75" customHeight="1">
      <c r="A24" s="442"/>
      <c r="B24" s="445" t="s">
        <v>125</v>
      </c>
      <c r="C24" s="106" t="s">
        <v>9</v>
      </c>
      <c r="D24" s="107" t="s">
        <v>0</v>
      </c>
      <c r="E24" s="108">
        <f aca="true" t="shared" si="2" ref="E24:E30">M24*Q24*(100%+E$5)</f>
        <v>131.05</v>
      </c>
      <c r="F24" s="107" t="s">
        <v>1</v>
      </c>
      <c r="G24" s="109">
        <f aca="true" t="shared" si="3" ref="G24:G29">G9</f>
        <v>0</v>
      </c>
      <c r="H24" s="107" t="s">
        <v>1</v>
      </c>
      <c r="I24" s="110">
        <f aca="true" t="shared" si="4" ref="I24:I30">100%+I$5</f>
        <v>1</v>
      </c>
      <c r="J24" s="107" t="s">
        <v>0</v>
      </c>
      <c r="K24" s="111">
        <f aca="true" t="shared" si="5" ref="K24:K35">SUM(E24*G24*I24)</f>
        <v>0</v>
      </c>
      <c r="M24" s="330">
        <v>131.05</v>
      </c>
      <c r="O24" s="97">
        <v>60.5</v>
      </c>
      <c r="Q24" s="95">
        <f>IF($B$3="interna al Territorio Urbanizzato",0.55,1)</f>
        <v>1</v>
      </c>
    </row>
    <row r="25" spans="1:17" ht="12.75">
      <c r="A25" s="442"/>
      <c r="B25" s="445"/>
      <c r="C25" s="112" t="s">
        <v>10</v>
      </c>
      <c r="D25" s="113" t="s">
        <v>0</v>
      </c>
      <c r="E25" s="108">
        <f t="shared" si="2"/>
        <v>91.735</v>
      </c>
      <c r="F25" s="113" t="s">
        <v>1</v>
      </c>
      <c r="G25" s="109">
        <f t="shared" si="3"/>
        <v>0</v>
      </c>
      <c r="H25" s="113" t="s">
        <v>1</v>
      </c>
      <c r="I25" s="110">
        <f t="shared" si="4"/>
        <v>1</v>
      </c>
      <c r="J25" s="113" t="s">
        <v>0</v>
      </c>
      <c r="K25" s="111">
        <f t="shared" si="5"/>
        <v>0</v>
      </c>
      <c r="M25" s="330">
        <v>131.05</v>
      </c>
      <c r="O25" s="98">
        <v>49.5</v>
      </c>
      <c r="Q25" s="95">
        <f>IF($B$3="interna al Territorio Urbanizzato",0.45,0.7)</f>
        <v>0.7</v>
      </c>
    </row>
    <row r="26" spans="1:17" ht="12.75">
      <c r="A26" s="442"/>
      <c r="B26" s="446"/>
      <c r="C26" s="114" t="s">
        <v>11</v>
      </c>
      <c r="D26" s="115" t="s">
        <v>0</v>
      </c>
      <c r="E26" s="116">
        <f t="shared" si="2"/>
        <v>13.105000000000002</v>
      </c>
      <c r="F26" s="115" t="s">
        <v>1</v>
      </c>
      <c r="G26" s="117">
        <f t="shared" si="3"/>
        <v>0</v>
      </c>
      <c r="H26" s="115" t="s">
        <v>1</v>
      </c>
      <c r="I26" s="304">
        <f t="shared" si="4"/>
        <v>1</v>
      </c>
      <c r="J26" s="115" t="s">
        <v>0</v>
      </c>
      <c r="K26" s="118">
        <f t="shared" si="5"/>
        <v>0</v>
      </c>
      <c r="M26" s="330">
        <v>131.05</v>
      </c>
      <c r="O26" s="99">
        <v>11</v>
      </c>
      <c r="Q26" s="96">
        <f>IF($B$3="interna al Territorio Urbanizzato",0.1,0.1)</f>
        <v>0.1</v>
      </c>
    </row>
    <row r="27" spans="1:17" ht="12.75" customHeight="1">
      <c r="A27" s="442"/>
      <c r="B27" s="452" t="s">
        <v>117</v>
      </c>
      <c r="C27" s="106" t="s">
        <v>9</v>
      </c>
      <c r="D27" s="107" t="s">
        <v>0</v>
      </c>
      <c r="E27" s="108">
        <f t="shared" si="2"/>
        <v>131.05</v>
      </c>
      <c r="F27" s="113" t="s">
        <v>1</v>
      </c>
      <c r="G27" s="109">
        <f t="shared" si="3"/>
        <v>0</v>
      </c>
      <c r="H27" s="113" t="s">
        <v>1</v>
      </c>
      <c r="I27" s="110">
        <f t="shared" si="4"/>
        <v>1</v>
      </c>
      <c r="J27" s="107" t="s">
        <v>0</v>
      </c>
      <c r="K27" s="111">
        <f t="shared" si="5"/>
        <v>0</v>
      </c>
      <c r="M27" s="330">
        <v>131.05</v>
      </c>
      <c r="O27" s="98">
        <v>66</v>
      </c>
      <c r="Q27" s="95">
        <f>IF($B$3="interna al Territorio Urbanizzato",0.6,1)</f>
        <v>1</v>
      </c>
    </row>
    <row r="28" spans="1:17" ht="12.75">
      <c r="A28" s="442"/>
      <c r="B28" s="453"/>
      <c r="C28" s="112" t="s">
        <v>10</v>
      </c>
      <c r="D28" s="113" t="s">
        <v>0</v>
      </c>
      <c r="E28" s="108">
        <f t="shared" si="2"/>
        <v>131.05</v>
      </c>
      <c r="F28" s="113" t="s">
        <v>1</v>
      </c>
      <c r="G28" s="109">
        <f t="shared" si="3"/>
        <v>0</v>
      </c>
      <c r="H28" s="113" t="s">
        <v>1</v>
      </c>
      <c r="I28" s="110">
        <f t="shared" si="4"/>
        <v>1</v>
      </c>
      <c r="J28" s="113" t="s">
        <v>0</v>
      </c>
      <c r="K28" s="111">
        <f t="shared" si="5"/>
        <v>0</v>
      </c>
      <c r="M28" s="330">
        <v>131.05</v>
      </c>
      <c r="O28" s="98">
        <v>55</v>
      </c>
      <c r="Q28" s="95">
        <f>IF($B$3="interna al Territorio Urbanizzato",0.5,1)</f>
        <v>1</v>
      </c>
    </row>
    <row r="29" spans="1:17" ht="12.75">
      <c r="A29" s="442"/>
      <c r="B29" s="274" t="s">
        <v>105</v>
      </c>
      <c r="C29" s="114" t="s">
        <v>11</v>
      </c>
      <c r="D29" s="115" t="s">
        <v>0</v>
      </c>
      <c r="E29" s="116">
        <f t="shared" si="2"/>
        <v>39.315000000000005</v>
      </c>
      <c r="F29" s="115" t="s">
        <v>1</v>
      </c>
      <c r="G29" s="117">
        <f t="shared" si="3"/>
        <v>0</v>
      </c>
      <c r="H29" s="115" t="s">
        <v>1</v>
      </c>
      <c r="I29" s="110">
        <f t="shared" si="4"/>
        <v>1</v>
      </c>
      <c r="J29" s="115" t="s">
        <v>0</v>
      </c>
      <c r="K29" s="118">
        <f t="shared" si="5"/>
        <v>0</v>
      </c>
      <c r="M29" s="330">
        <v>131.05</v>
      </c>
      <c r="O29" s="99">
        <v>33</v>
      </c>
      <c r="Q29" s="96">
        <f>IF($B$3="interna al Territorio Urbanizzato",0.3,0.3)</f>
        <v>0.3</v>
      </c>
    </row>
    <row r="30" spans="1:17" ht="12.75" customHeight="1">
      <c r="A30" s="442"/>
      <c r="B30" s="437" t="s">
        <v>305</v>
      </c>
      <c r="C30" s="447" t="s">
        <v>11</v>
      </c>
      <c r="D30" s="282"/>
      <c r="E30" s="468">
        <f t="shared" si="2"/>
        <v>26.210000000000004</v>
      </c>
      <c r="F30" s="283"/>
      <c r="G30" s="492">
        <f>G15</f>
        <v>0</v>
      </c>
      <c r="H30" s="283"/>
      <c r="I30" s="493">
        <f t="shared" si="4"/>
        <v>1</v>
      </c>
      <c r="J30" s="282"/>
      <c r="K30" s="472">
        <f>SUM(E30*G30*I30)</f>
        <v>0</v>
      </c>
      <c r="M30" s="487">
        <v>131.05</v>
      </c>
      <c r="O30" s="484">
        <v>22</v>
      </c>
      <c r="Q30" s="490">
        <f>IF($B$3="interna al Territorio Urbanizzato",0.2,0.2)</f>
        <v>0.2</v>
      </c>
    </row>
    <row r="31" spans="1:17" ht="12.75">
      <c r="A31" s="442"/>
      <c r="B31" s="438"/>
      <c r="C31" s="448"/>
      <c r="D31" s="283" t="s">
        <v>0</v>
      </c>
      <c r="E31" s="469"/>
      <c r="F31" s="283" t="s">
        <v>1</v>
      </c>
      <c r="G31" s="469"/>
      <c r="H31" s="283" t="s">
        <v>1</v>
      </c>
      <c r="I31" s="494"/>
      <c r="J31" s="283" t="s">
        <v>0</v>
      </c>
      <c r="K31" s="473"/>
      <c r="M31" s="488"/>
      <c r="O31" s="485"/>
      <c r="Q31" s="491"/>
    </row>
    <row r="32" spans="1:17" ht="12.75">
      <c r="A32" s="442"/>
      <c r="B32" s="438"/>
      <c r="C32" s="449"/>
      <c r="D32" s="284"/>
      <c r="E32" s="470"/>
      <c r="F32" s="284"/>
      <c r="G32" s="470"/>
      <c r="H32" s="284"/>
      <c r="I32" s="495"/>
      <c r="J32" s="284"/>
      <c r="K32" s="474"/>
      <c r="M32" s="489"/>
      <c r="O32" s="486"/>
      <c r="Q32" s="483"/>
    </row>
    <row r="33" spans="1:17" ht="12.75" customHeight="1">
      <c r="A33" s="442"/>
      <c r="B33" s="415" t="s">
        <v>116</v>
      </c>
      <c r="C33" s="106" t="s">
        <v>9</v>
      </c>
      <c r="D33" s="107" t="s">
        <v>0</v>
      </c>
      <c r="E33" s="108">
        <f>M33*Q33*(100%+E$5)</f>
        <v>8.34</v>
      </c>
      <c r="F33" s="113" t="s">
        <v>1</v>
      </c>
      <c r="G33" s="109">
        <f>G18</f>
        <v>0</v>
      </c>
      <c r="H33" s="113" t="s">
        <v>1</v>
      </c>
      <c r="I33" s="110">
        <f>100%+I$5</f>
        <v>1</v>
      </c>
      <c r="J33" s="113" t="s">
        <v>0</v>
      </c>
      <c r="K33" s="111">
        <f t="shared" si="5"/>
        <v>0</v>
      </c>
      <c r="M33" s="329">
        <v>8.34</v>
      </c>
      <c r="O33" s="98">
        <v>4.2</v>
      </c>
      <c r="Q33" s="95">
        <f>IF($B$3="interna al Territorio Urbanizzato",0.6,1)</f>
        <v>1</v>
      </c>
    </row>
    <row r="34" spans="1:17" ht="12.75">
      <c r="A34" s="442"/>
      <c r="B34" s="415"/>
      <c r="C34" s="112" t="s">
        <v>10</v>
      </c>
      <c r="D34" s="113" t="s">
        <v>0</v>
      </c>
      <c r="E34" s="108">
        <f>M34*Q34*(100%+E$5)</f>
        <v>8.34</v>
      </c>
      <c r="F34" s="113" t="s">
        <v>1</v>
      </c>
      <c r="G34" s="109">
        <f>G19</f>
        <v>0</v>
      </c>
      <c r="H34" s="113" t="s">
        <v>1</v>
      </c>
      <c r="I34" s="110">
        <f>100%+I$5</f>
        <v>1</v>
      </c>
      <c r="J34" s="113" t="s">
        <v>0</v>
      </c>
      <c r="K34" s="111">
        <f t="shared" si="5"/>
        <v>0</v>
      </c>
      <c r="M34" s="329">
        <v>8.34</v>
      </c>
      <c r="O34" s="98">
        <v>3.5</v>
      </c>
      <c r="Q34" s="95">
        <f>IF($B$3="interna al Territorio Urbanizzato",0.5,1)</f>
        <v>1</v>
      </c>
    </row>
    <row r="35" spans="1:17" ht="12.75">
      <c r="A35" s="443"/>
      <c r="B35" s="416"/>
      <c r="C35" s="114" t="s">
        <v>11</v>
      </c>
      <c r="D35" s="115" t="s">
        <v>0</v>
      </c>
      <c r="E35" s="108">
        <f>M35*Q35*(100%+E$5)</f>
        <v>2.502</v>
      </c>
      <c r="F35" s="115" t="s">
        <v>1</v>
      </c>
      <c r="G35" s="109">
        <f>G20</f>
        <v>0</v>
      </c>
      <c r="H35" s="115" t="s">
        <v>1</v>
      </c>
      <c r="I35" s="110">
        <f>100%+I$5</f>
        <v>1</v>
      </c>
      <c r="J35" s="115" t="s">
        <v>0</v>
      </c>
      <c r="K35" s="118">
        <f t="shared" si="5"/>
        <v>0</v>
      </c>
      <c r="M35" s="329">
        <v>8.34</v>
      </c>
      <c r="O35" s="98">
        <v>2.1</v>
      </c>
      <c r="Q35" s="96">
        <f>IF($B$3="interna al Territorio Urbanizzato",0.3,0.3)</f>
        <v>0.3</v>
      </c>
    </row>
    <row r="36" spans="1:11" ht="12.75">
      <c r="A36" s="439"/>
      <c r="B36" s="439"/>
      <c r="C36" s="439"/>
      <c r="D36" s="440"/>
      <c r="E36" s="439"/>
      <c r="F36" s="440"/>
      <c r="G36" s="439"/>
      <c r="H36" s="440"/>
      <c r="I36" s="439"/>
      <c r="J36" s="440"/>
      <c r="K36" s="384"/>
    </row>
    <row r="37" spans="2:11" ht="12.75">
      <c r="B37" s="12" t="s">
        <v>4</v>
      </c>
      <c r="C37" s="13" t="s">
        <v>5</v>
      </c>
      <c r="D37" s="12"/>
      <c r="E37" s="496" t="s">
        <v>327</v>
      </c>
      <c r="F37" s="497"/>
      <c r="G37" s="498"/>
      <c r="H37" s="12"/>
      <c r="I37" s="12" t="s">
        <v>7</v>
      </c>
      <c r="J37" s="12"/>
      <c r="K37" s="27" t="s">
        <v>8</v>
      </c>
    </row>
    <row r="38" spans="1:11" ht="12.75">
      <c r="A38" s="388" t="s">
        <v>120</v>
      </c>
      <c r="B38" s="504" t="s">
        <v>12</v>
      </c>
      <c r="C38" s="106" t="s">
        <v>9</v>
      </c>
      <c r="D38" s="107" t="s">
        <v>0</v>
      </c>
      <c r="E38" s="450">
        <f>IF(I38=0,0,K38/I38)</f>
        <v>0</v>
      </c>
      <c r="F38" s="450"/>
      <c r="G38" s="450"/>
      <c r="H38" s="107" t="s">
        <v>1</v>
      </c>
      <c r="I38" s="298">
        <f>'Scheda A - NC resid'!E52/100</f>
        <v>0.06</v>
      </c>
      <c r="J38" s="107" t="s">
        <v>0</v>
      </c>
      <c r="K38" s="111">
        <f>'Scheda A - NC resid'!$C$46</f>
        <v>0</v>
      </c>
    </row>
    <row r="39" spans="1:11" ht="12.75">
      <c r="A39" s="406"/>
      <c r="B39" s="505"/>
      <c r="C39" s="114" t="s">
        <v>13</v>
      </c>
      <c r="D39" s="115" t="s">
        <v>0</v>
      </c>
      <c r="E39" s="444">
        <f>IF(I39=0,0,K39/I39)</f>
        <v>0</v>
      </c>
      <c r="F39" s="444"/>
      <c r="G39" s="444"/>
      <c r="H39" s="115" t="s">
        <v>1</v>
      </c>
      <c r="I39" s="299">
        <f>'Scheda B - RE resid'!F28/100</f>
        <v>0.06</v>
      </c>
      <c r="J39" s="115" t="s">
        <v>0</v>
      </c>
      <c r="K39" s="118">
        <f>'Scheda B - RE resid'!$B$22</f>
        <v>0</v>
      </c>
    </row>
    <row r="40" spans="1:11" ht="12.75">
      <c r="A40" s="406"/>
      <c r="B40" s="504" t="s">
        <v>2</v>
      </c>
      <c r="C40" s="106" t="s">
        <v>9</v>
      </c>
      <c r="D40" s="107" t="s">
        <v>0</v>
      </c>
      <c r="E40" s="450">
        <f>K40/I40</f>
        <v>0</v>
      </c>
      <c r="F40" s="450"/>
      <c r="G40" s="450"/>
      <c r="H40" s="107" t="s">
        <v>1</v>
      </c>
      <c r="I40" s="119">
        <v>0.1</v>
      </c>
      <c r="J40" s="107" t="s">
        <v>0</v>
      </c>
      <c r="K40" s="111">
        <f>'Scheda C - NC altro'!$D$7</f>
        <v>0</v>
      </c>
    </row>
    <row r="41" spans="1:11" ht="12.75">
      <c r="A41" s="406"/>
      <c r="B41" s="505"/>
      <c r="C41" s="114" t="s">
        <v>13</v>
      </c>
      <c r="D41" s="115" t="s">
        <v>0</v>
      </c>
      <c r="E41" s="444">
        <f>K41/I41</f>
        <v>0</v>
      </c>
      <c r="F41" s="444"/>
      <c r="G41" s="444"/>
      <c r="H41" s="115" t="s">
        <v>1</v>
      </c>
      <c r="I41" s="120">
        <v>0.1</v>
      </c>
      <c r="J41" s="115" t="s">
        <v>0</v>
      </c>
      <c r="K41" s="118">
        <f>'Scheda D - RE altro'!$B$22</f>
        <v>0</v>
      </c>
    </row>
    <row r="42" spans="1:11" ht="12.75">
      <c r="A42" s="406"/>
      <c r="B42" s="502" t="s">
        <v>14</v>
      </c>
      <c r="C42" s="17" t="s">
        <v>9</v>
      </c>
      <c r="D42" s="15" t="s">
        <v>0</v>
      </c>
      <c r="E42" s="436">
        <f>K42/I42</f>
        <v>0</v>
      </c>
      <c r="F42" s="436"/>
      <c r="G42" s="436"/>
      <c r="H42" s="15" t="s">
        <v>1</v>
      </c>
      <c r="I42" s="64">
        <v>0.1</v>
      </c>
      <c r="J42" s="15" t="s">
        <v>0</v>
      </c>
      <c r="K42" s="300">
        <v>0</v>
      </c>
    </row>
    <row r="43" spans="1:11" ht="12.75">
      <c r="A43" s="451"/>
      <c r="B43" s="503"/>
      <c r="C43" s="1" t="s">
        <v>13</v>
      </c>
      <c r="D43" s="16" t="s">
        <v>0</v>
      </c>
      <c r="E43" s="436">
        <f>K43/I43</f>
        <v>0</v>
      </c>
      <c r="F43" s="436"/>
      <c r="G43" s="436"/>
      <c r="H43" s="16" t="s">
        <v>1</v>
      </c>
      <c r="I43" s="63">
        <v>0.1</v>
      </c>
      <c r="J43" s="16" t="s">
        <v>0</v>
      </c>
      <c r="K43" s="301">
        <v>0</v>
      </c>
    </row>
    <row r="44" spans="1:11" ht="12.75">
      <c r="A44" s="439"/>
      <c r="B44" s="439"/>
      <c r="C44" s="439"/>
      <c r="D44" s="440"/>
      <c r="E44" s="439"/>
      <c r="F44" s="440"/>
      <c r="G44" s="439"/>
      <c r="H44" s="440"/>
      <c r="I44" s="384"/>
      <c r="J44" s="440"/>
      <c r="K44" s="384"/>
    </row>
    <row r="45" spans="2:11" ht="12.75">
      <c r="B45" s="12" t="s">
        <v>4</v>
      </c>
      <c r="C45" s="12" t="s">
        <v>6</v>
      </c>
      <c r="D45" s="12"/>
      <c r="E45" s="12" t="s">
        <v>110</v>
      </c>
      <c r="F45" s="12"/>
      <c r="G45" s="12" t="s">
        <v>128</v>
      </c>
      <c r="H45" s="12"/>
      <c r="I45" s="12"/>
      <c r="J45" s="12"/>
      <c r="K45" s="27" t="s">
        <v>8</v>
      </c>
    </row>
    <row r="46" spans="1:13" ht="12.75">
      <c r="A46" s="430" t="s">
        <v>126</v>
      </c>
      <c r="B46" s="415" t="s">
        <v>116</v>
      </c>
      <c r="C46" s="421">
        <f>M46*1</f>
        <v>4.77</v>
      </c>
      <c r="D46" s="395" t="s">
        <v>1</v>
      </c>
      <c r="E46" s="417">
        <f>G18+G19+G20</f>
        <v>0</v>
      </c>
      <c r="F46" s="395" t="s">
        <v>1</v>
      </c>
      <c r="G46" s="409"/>
      <c r="H46" s="395" t="s">
        <v>1</v>
      </c>
      <c r="I46" s="427">
        <f>100%+I$5</f>
        <v>1</v>
      </c>
      <c r="J46" s="395" t="s">
        <v>0</v>
      </c>
      <c r="K46" s="424">
        <f>SUM(C46*E46*G46*I46)</f>
        <v>0</v>
      </c>
      <c r="M46" s="331">
        <v>4.77</v>
      </c>
    </row>
    <row r="47" spans="1:13" ht="12.75">
      <c r="A47" s="431"/>
      <c r="B47" s="415"/>
      <c r="C47" s="422"/>
      <c r="D47" s="396"/>
      <c r="E47" s="396"/>
      <c r="F47" s="396"/>
      <c r="G47" s="410"/>
      <c r="H47" s="396"/>
      <c r="I47" s="428"/>
      <c r="J47" s="396"/>
      <c r="K47" s="425"/>
      <c r="M47" s="331">
        <v>4.77</v>
      </c>
    </row>
    <row r="48" spans="1:13" ht="12.75">
      <c r="A48" s="432"/>
      <c r="B48" s="416"/>
      <c r="C48" s="423"/>
      <c r="D48" s="397"/>
      <c r="E48" s="397"/>
      <c r="F48" s="397"/>
      <c r="G48" s="411"/>
      <c r="H48" s="397"/>
      <c r="I48" s="429"/>
      <c r="J48" s="397"/>
      <c r="K48" s="426"/>
      <c r="M48" s="331">
        <v>4.77</v>
      </c>
    </row>
    <row r="49" spans="1:11" ht="12.75">
      <c r="A49" s="433"/>
      <c r="B49" s="434"/>
      <c r="C49" s="434"/>
      <c r="D49" s="434"/>
      <c r="E49" s="434"/>
      <c r="F49" s="434"/>
      <c r="G49" s="434"/>
      <c r="H49" s="434"/>
      <c r="I49" s="434"/>
      <c r="J49" s="434"/>
      <c r="K49" s="435"/>
    </row>
    <row r="50" spans="2:11" ht="12.75">
      <c r="B50" s="12" t="s">
        <v>4</v>
      </c>
      <c r="C50" s="12" t="s">
        <v>6</v>
      </c>
      <c r="D50" s="12"/>
      <c r="E50" s="12" t="s">
        <v>110</v>
      </c>
      <c r="F50" s="12"/>
      <c r="G50" s="12" t="s">
        <v>129</v>
      </c>
      <c r="H50" s="12"/>
      <c r="I50" s="12"/>
      <c r="J50" s="12"/>
      <c r="K50" s="27" t="s">
        <v>8</v>
      </c>
    </row>
    <row r="51" spans="1:13" ht="12.75">
      <c r="A51" s="430" t="s">
        <v>127</v>
      </c>
      <c r="B51" s="415" t="s">
        <v>116</v>
      </c>
      <c r="C51" s="421">
        <f>M51*1</f>
        <v>3.57</v>
      </c>
      <c r="D51" s="395" t="s">
        <v>1</v>
      </c>
      <c r="E51" s="417">
        <f>G18+G19+G20</f>
        <v>0</v>
      </c>
      <c r="F51" s="395" t="s">
        <v>1</v>
      </c>
      <c r="G51" s="409"/>
      <c r="H51" s="395" t="s">
        <v>1</v>
      </c>
      <c r="I51" s="427">
        <f>100%+I$5</f>
        <v>1</v>
      </c>
      <c r="J51" s="395" t="s">
        <v>0</v>
      </c>
      <c r="K51" s="424">
        <f>SUM(C51*E51*G51*I51)</f>
        <v>0</v>
      </c>
      <c r="M51" s="332">
        <v>3.57</v>
      </c>
    </row>
    <row r="52" spans="1:13" ht="12.75">
      <c r="A52" s="431"/>
      <c r="B52" s="415"/>
      <c r="C52" s="422"/>
      <c r="D52" s="396"/>
      <c r="E52" s="418"/>
      <c r="F52" s="396"/>
      <c r="G52" s="410"/>
      <c r="H52" s="396"/>
      <c r="I52" s="428"/>
      <c r="J52" s="396"/>
      <c r="K52" s="425"/>
      <c r="M52" s="332">
        <v>3.57</v>
      </c>
    </row>
    <row r="53" spans="1:13" ht="12.75">
      <c r="A53" s="432"/>
      <c r="B53" s="416"/>
      <c r="C53" s="423"/>
      <c r="D53" s="397"/>
      <c r="E53" s="397"/>
      <c r="F53" s="397"/>
      <c r="G53" s="411"/>
      <c r="H53" s="397"/>
      <c r="I53" s="429"/>
      <c r="J53" s="397"/>
      <c r="K53" s="426"/>
      <c r="M53" s="332">
        <v>3.57</v>
      </c>
    </row>
    <row r="54" spans="1:11" ht="12.75">
      <c r="A54" s="103"/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2:11" ht="12.75">
      <c r="B55" s="12" t="s">
        <v>4</v>
      </c>
      <c r="C55" s="12" t="s">
        <v>6</v>
      </c>
      <c r="D55" s="12"/>
      <c r="E55" s="12" t="s">
        <v>110</v>
      </c>
      <c r="F55" s="12"/>
      <c r="G55" s="12" t="s">
        <v>15</v>
      </c>
      <c r="H55" s="12"/>
      <c r="I55" s="12" t="s">
        <v>16</v>
      </c>
      <c r="J55" s="12"/>
      <c r="K55" s="27" t="s">
        <v>8</v>
      </c>
    </row>
    <row r="56" spans="1:11" ht="12.75">
      <c r="A56" s="392" t="s">
        <v>130</v>
      </c>
      <c r="B56" s="412" t="s">
        <v>131</v>
      </c>
      <c r="C56" s="419">
        <f>M56*1</f>
        <v>0</v>
      </c>
      <c r="D56" s="395" t="s">
        <v>1</v>
      </c>
      <c r="E56" s="401"/>
      <c r="F56" s="395" t="s">
        <v>1</v>
      </c>
      <c r="G56" s="398"/>
      <c r="H56" s="395" t="s">
        <v>1</v>
      </c>
      <c r="I56" s="398">
        <v>1</v>
      </c>
      <c r="J56" s="395" t="s">
        <v>0</v>
      </c>
      <c r="K56" s="424">
        <f>SUM(C56*E56*G56*I56)</f>
        <v>0</v>
      </c>
    </row>
    <row r="57" spans="1:11" ht="12.75">
      <c r="A57" s="393"/>
      <c r="B57" s="413"/>
      <c r="C57" s="420"/>
      <c r="D57" s="396"/>
      <c r="E57" s="402"/>
      <c r="F57" s="396"/>
      <c r="G57" s="399"/>
      <c r="H57" s="396"/>
      <c r="I57" s="399"/>
      <c r="J57" s="396"/>
      <c r="K57" s="425"/>
    </row>
    <row r="58" spans="1:11" ht="12.75">
      <c r="A58" s="394"/>
      <c r="B58" s="414"/>
      <c r="C58" s="403"/>
      <c r="D58" s="397"/>
      <c r="E58" s="403"/>
      <c r="F58" s="397"/>
      <c r="G58" s="400"/>
      <c r="H58" s="397"/>
      <c r="I58" s="400"/>
      <c r="J58" s="397"/>
      <c r="K58" s="426"/>
    </row>
    <row r="59" spans="1:11" ht="12.7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</row>
    <row r="60" spans="1:11" ht="12.75">
      <c r="A60" s="19"/>
      <c r="B60" s="1"/>
      <c r="C60" s="1"/>
      <c r="D60" s="16"/>
      <c r="E60" s="1"/>
      <c r="F60" s="16"/>
      <c r="G60" s="404" t="s">
        <v>19</v>
      </c>
      <c r="H60" s="404"/>
      <c r="I60" s="404"/>
      <c r="J60" s="16"/>
      <c r="K60" s="28"/>
    </row>
    <row r="61" spans="1:11" ht="12.75">
      <c r="A61" s="388" t="s">
        <v>132</v>
      </c>
      <c r="B61" s="380" t="s">
        <v>20</v>
      </c>
      <c r="C61" s="381"/>
      <c r="D61" s="20" t="s">
        <v>21</v>
      </c>
      <c r="E61" s="77"/>
      <c r="F61" s="20" t="s">
        <v>1</v>
      </c>
      <c r="G61" s="408"/>
      <c r="H61" s="408"/>
      <c r="I61" s="408"/>
      <c r="J61" s="20" t="s">
        <v>0</v>
      </c>
      <c r="K61" s="57">
        <f>SUM(E61*G61)</f>
        <v>0</v>
      </c>
    </row>
    <row r="62" spans="1:11" ht="12.75">
      <c r="A62" s="406"/>
      <c r="B62" s="380" t="s">
        <v>20</v>
      </c>
      <c r="C62" s="381"/>
      <c r="D62" s="20" t="s">
        <v>21</v>
      </c>
      <c r="E62" s="77"/>
      <c r="F62" s="20" t="s">
        <v>1</v>
      </c>
      <c r="G62" s="408"/>
      <c r="H62" s="408"/>
      <c r="I62" s="408"/>
      <c r="J62" s="20" t="s">
        <v>0</v>
      </c>
      <c r="K62" s="57">
        <f>SUM(E62*G62)</f>
        <v>0</v>
      </c>
    </row>
    <row r="63" spans="1:11" ht="12.75">
      <c r="A63" s="407"/>
      <c r="B63" s="405" t="s">
        <v>20</v>
      </c>
      <c r="C63" s="405"/>
      <c r="D63" s="16" t="s">
        <v>21</v>
      </c>
      <c r="E63" s="78"/>
      <c r="F63" s="16" t="s">
        <v>1</v>
      </c>
      <c r="G63" s="391"/>
      <c r="H63" s="391"/>
      <c r="I63" s="391"/>
      <c r="J63" s="16" t="s">
        <v>0</v>
      </c>
      <c r="K63" s="57">
        <f>SUM(E63*G63)</f>
        <v>0</v>
      </c>
    </row>
    <row r="64" spans="1:11" ht="12.75">
      <c r="A64" s="386"/>
      <c r="B64" s="387"/>
      <c r="C64" s="387"/>
      <c r="D64" s="387"/>
      <c r="E64" s="387"/>
      <c r="F64" s="387"/>
      <c r="G64" s="387"/>
      <c r="H64" s="387"/>
      <c r="I64" s="387"/>
      <c r="J64" s="387"/>
      <c r="K64" s="387"/>
    </row>
    <row r="65" spans="1:11" ht="12.75">
      <c r="A65" s="388" t="s">
        <v>133</v>
      </c>
      <c r="B65" s="380" t="s">
        <v>32</v>
      </c>
      <c r="C65" s="381"/>
      <c r="D65" s="20"/>
      <c r="E65" s="84">
        <f>'COSTO valori OMI'!B8</f>
        <v>314.95433</v>
      </c>
      <c r="F65" s="20" t="s">
        <v>1</v>
      </c>
      <c r="G65" s="79"/>
      <c r="H65" s="20" t="s">
        <v>3</v>
      </c>
      <c r="I65" s="25" t="s">
        <v>29</v>
      </c>
      <c r="J65" s="20" t="s">
        <v>0</v>
      </c>
      <c r="K65" s="57">
        <f>SUM(E65*G65)</f>
        <v>0</v>
      </c>
    </row>
    <row r="66" spans="1:11" ht="12.75">
      <c r="A66" s="389"/>
      <c r="B66" s="381" t="s">
        <v>32</v>
      </c>
      <c r="C66" s="381"/>
      <c r="D66" s="20"/>
      <c r="E66" s="84">
        <f>'COSTO valori OMI'!C8</f>
        <v>157.82471</v>
      </c>
      <c r="F66" s="16" t="s">
        <v>1</v>
      </c>
      <c r="G66" s="79"/>
      <c r="H66" s="20" t="s">
        <v>3</v>
      </c>
      <c r="I66" s="25" t="s">
        <v>30</v>
      </c>
      <c r="J66" s="20" t="s">
        <v>0</v>
      </c>
      <c r="K66" s="57">
        <f>SUM(E66*G66)</f>
        <v>0</v>
      </c>
    </row>
    <row r="67" spans="1:11" ht="12.75">
      <c r="A67" s="390"/>
      <c r="B67" s="381" t="s">
        <v>32</v>
      </c>
      <c r="C67" s="381"/>
      <c r="D67" s="20"/>
      <c r="E67" s="84">
        <f>'COSTO valori OMI'!D8</f>
        <v>118.07193</v>
      </c>
      <c r="F67" s="16" t="s">
        <v>1</v>
      </c>
      <c r="G67" s="79"/>
      <c r="H67" s="20" t="s">
        <v>3</v>
      </c>
      <c r="I67" s="25" t="s">
        <v>31</v>
      </c>
      <c r="J67" s="20" t="s">
        <v>0</v>
      </c>
      <c r="K67" s="57">
        <f>SUM(E67*G67)</f>
        <v>0</v>
      </c>
    </row>
    <row r="68" spans="1:11" ht="12.75">
      <c r="A68" s="384"/>
      <c r="B68" s="385"/>
      <c r="C68" s="385"/>
      <c r="D68" s="385"/>
      <c r="E68" s="385"/>
      <c r="F68" s="385"/>
      <c r="G68" s="385"/>
      <c r="H68" s="385"/>
      <c r="I68" s="385"/>
      <c r="J68" s="385"/>
      <c r="K68" s="385"/>
    </row>
    <row r="69" spans="1:11" ht="15.75">
      <c r="A69" s="380"/>
      <c r="B69" s="381"/>
      <c r="C69" s="381"/>
      <c r="D69" s="381"/>
      <c r="E69" s="382" t="s">
        <v>22</v>
      </c>
      <c r="F69" s="382"/>
      <c r="G69" s="382"/>
      <c r="H69" s="382"/>
      <c r="I69" s="383"/>
      <c r="J69" s="16" t="s">
        <v>0</v>
      </c>
      <c r="K69" s="29">
        <f>SUM((K9:K67))</f>
        <v>0</v>
      </c>
    </row>
    <row r="70" spans="1:11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12.75">
      <c r="A71" s="18"/>
      <c r="B71" s="499" t="s">
        <v>330</v>
      </c>
      <c r="C71" s="500"/>
      <c r="D71" s="500"/>
      <c r="E71" s="500"/>
      <c r="F71" s="500"/>
      <c r="G71" s="500"/>
      <c r="H71" s="500"/>
      <c r="I71" s="501"/>
      <c r="J71" s="18"/>
      <c r="K71" s="18"/>
    </row>
    <row r="72" spans="1:11" ht="12.75">
      <c r="A72" s="18"/>
      <c r="B72" s="499" t="s">
        <v>328</v>
      </c>
      <c r="C72" s="500"/>
      <c r="D72" s="500"/>
      <c r="E72" s="500"/>
      <c r="F72" s="500"/>
      <c r="G72" s="500"/>
      <c r="H72" s="500"/>
      <c r="I72" s="501"/>
      <c r="J72" s="18"/>
      <c r="K72" s="18"/>
    </row>
    <row r="73" spans="3:11" ht="12.75">
      <c r="C73" s="18"/>
      <c r="D73" s="18"/>
      <c r="E73" s="18"/>
      <c r="F73" s="18"/>
      <c r="G73" s="18"/>
      <c r="H73" s="18"/>
      <c r="I73" s="18"/>
      <c r="J73" s="18"/>
      <c r="K73" s="18"/>
    </row>
    <row r="74" spans="2:11" ht="15.75">
      <c r="B74" s="499" t="s">
        <v>329</v>
      </c>
      <c r="C74" s="500"/>
      <c r="D74" s="500"/>
      <c r="E74" s="500"/>
      <c r="F74" s="500"/>
      <c r="G74" s="500"/>
      <c r="H74" s="500"/>
      <c r="I74" s="501"/>
      <c r="J74" s="275"/>
      <c r="K74" s="306">
        <f>K69+K71-K72</f>
        <v>0</v>
      </c>
    </row>
    <row r="75" spans="3:11" ht="12.75">
      <c r="C75" s="275"/>
      <c r="D75" s="275"/>
      <c r="E75" s="275"/>
      <c r="F75" s="275"/>
      <c r="G75" s="275"/>
      <c r="H75" s="275"/>
      <c r="I75" s="275"/>
      <c r="J75" s="275"/>
      <c r="K75" s="275"/>
    </row>
    <row r="76" spans="1:20" ht="12.75">
      <c r="A76" s="22" t="s">
        <v>121</v>
      </c>
      <c r="C76" s="42" t="s">
        <v>23</v>
      </c>
      <c r="D76" s="379" t="s">
        <v>24</v>
      </c>
      <c r="E76" s="379"/>
      <c r="F76" s="379"/>
      <c r="G76" s="379"/>
      <c r="H76" s="379"/>
      <c r="I76" s="379"/>
      <c r="J76" s="379"/>
      <c r="K76" s="379"/>
      <c r="L76" s="275"/>
      <c r="M76" s="275"/>
      <c r="N76" s="275"/>
      <c r="O76" s="275"/>
      <c r="P76" s="275"/>
      <c r="Q76" s="275"/>
      <c r="R76" s="275"/>
      <c r="S76" s="275"/>
      <c r="T76" s="275"/>
    </row>
    <row r="77" spans="1:20" ht="12.75">
      <c r="A77" s="101" t="s">
        <v>122</v>
      </c>
      <c r="D77" s="379" t="s">
        <v>25</v>
      </c>
      <c r="E77" s="379"/>
      <c r="F77" s="379"/>
      <c r="G77" s="379"/>
      <c r="H77" s="379"/>
      <c r="I77" s="379"/>
      <c r="J77" s="379"/>
      <c r="K77" s="379"/>
      <c r="L77" s="275"/>
      <c r="M77" s="275"/>
      <c r="N77" s="275"/>
      <c r="O77" s="275"/>
      <c r="P77" s="275"/>
      <c r="Q77" s="275"/>
      <c r="R77" s="275"/>
      <c r="S77" s="275"/>
      <c r="T77" s="275"/>
    </row>
    <row r="78" spans="1:20" ht="12.75">
      <c r="A78" s="102" t="s">
        <v>123</v>
      </c>
      <c r="D78" s="379" t="s">
        <v>26</v>
      </c>
      <c r="E78" s="379"/>
      <c r="F78" s="379"/>
      <c r="G78" s="379"/>
      <c r="H78" s="379"/>
      <c r="I78" s="379"/>
      <c r="J78" s="379"/>
      <c r="K78" s="379"/>
      <c r="L78" s="275"/>
      <c r="M78" s="275"/>
      <c r="N78" s="275"/>
      <c r="O78" s="275"/>
      <c r="P78" s="275"/>
      <c r="Q78" s="275"/>
      <c r="R78" s="275"/>
      <c r="S78" s="275"/>
      <c r="T78" s="275"/>
    </row>
    <row r="79" ht="12.75">
      <c r="A79" t="s">
        <v>124</v>
      </c>
    </row>
    <row r="80" ht="12.75"/>
    <row r="81" ht="12.75"/>
    <row r="82" ht="12.75"/>
  </sheetData>
  <sheetProtection selectLockedCells="1"/>
  <mergeCells count="101">
    <mergeCell ref="E37:G37"/>
    <mergeCell ref="B72:I72"/>
    <mergeCell ref="B74:I74"/>
    <mergeCell ref="B71:I71"/>
    <mergeCell ref="B42:B43"/>
    <mergeCell ref="E40:G40"/>
    <mergeCell ref="B40:B41"/>
    <mergeCell ref="B38:B39"/>
    <mergeCell ref="A44:K44"/>
    <mergeCell ref="A46:A48"/>
    <mergeCell ref="M30:M32"/>
    <mergeCell ref="O30:O32"/>
    <mergeCell ref="Q30:Q32"/>
    <mergeCell ref="E30:E32"/>
    <mergeCell ref="G30:G32"/>
    <mergeCell ref="I30:I32"/>
    <mergeCell ref="K30:K32"/>
    <mergeCell ref="K15:K17"/>
    <mergeCell ref="I15:I17"/>
    <mergeCell ref="M15:M17"/>
    <mergeCell ref="Q15:Q17"/>
    <mergeCell ref="O15:O17"/>
    <mergeCell ref="B27:B28"/>
    <mergeCell ref="C15:C17"/>
    <mergeCell ref="E15:E17"/>
    <mergeCell ref="G15:G17"/>
    <mergeCell ref="B15:B17"/>
    <mergeCell ref="B12:B13"/>
    <mergeCell ref="A21:K21"/>
    <mergeCell ref="A1:K1"/>
    <mergeCell ref="A8:A20"/>
    <mergeCell ref="B8:K8"/>
    <mergeCell ref="B9:B11"/>
    <mergeCell ref="A2:K2"/>
    <mergeCell ref="B18:B20"/>
    <mergeCell ref="A3:A5"/>
    <mergeCell ref="B3:B5"/>
    <mergeCell ref="B30:B32"/>
    <mergeCell ref="A36:K36"/>
    <mergeCell ref="A23:A35"/>
    <mergeCell ref="E41:G41"/>
    <mergeCell ref="E39:G39"/>
    <mergeCell ref="B33:B35"/>
    <mergeCell ref="B24:B26"/>
    <mergeCell ref="C30:C32"/>
    <mergeCell ref="E38:G38"/>
    <mergeCell ref="A38:A43"/>
    <mergeCell ref="E42:G42"/>
    <mergeCell ref="E43:G43"/>
    <mergeCell ref="I46:I48"/>
    <mergeCell ref="K46:K48"/>
    <mergeCell ref="J46:J48"/>
    <mergeCell ref="A51:A53"/>
    <mergeCell ref="F46:F48"/>
    <mergeCell ref="H46:H48"/>
    <mergeCell ref="E46:E48"/>
    <mergeCell ref="D46:D48"/>
    <mergeCell ref="B46:B48"/>
    <mergeCell ref="C46:C48"/>
    <mergeCell ref="G46:G48"/>
    <mergeCell ref="A49:K49"/>
    <mergeCell ref="D56:D58"/>
    <mergeCell ref="J51:J53"/>
    <mergeCell ref="K51:K53"/>
    <mergeCell ref="K56:K58"/>
    <mergeCell ref="J56:J58"/>
    <mergeCell ref="G56:G58"/>
    <mergeCell ref="F56:F58"/>
    <mergeCell ref="H51:H53"/>
    <mergeCell ref="I51:I53"/>
    <mergeCell ref="B62:C62"/>
    <mergeCell ref="G62:I62"/>
    <mergeCell ref="D51:D53"/>
    <mergeCell ref="F51:F53"/>
    <mergeCell ref="G51:G53"/>
    <mergeCell ref="B56:B58"/>
    <mergeCell ref="B51:B53"/>
    <mergeCell ref="E51:E53"/>
    <mergeCell ref="C56:C58"/>
    <mergeCell ref="C51:C53"/>
    <mergeCell ref="G63:I63"/>
    <mergeCell ref="A56:A58"/>
    <mergeCell ref="H56:H58"/>
    <mergeCell ref="I56:I58"/>
    <mergeCell ref="E56:E58"/>
    <mergeCell ref="G60:I60"/>
    <mergeCell ref="B63:C63"/>
    <mergeCell ref="A61:A63"/>
    <mergeCell ref="G61:I61"/>
    <mergeCell ref="B61:C61"/>
    <mergeCell ref="A68:K68"/>
    <mergeCell ref="A64:K64"/>
    <mergeCell ref="A65:A67"/>
    <mergeCell ref="B65:C65"/>
    <mergeCell ref="B66:C66"/>
    <mergeCell ref="B67:C67"/>
    <mergeCell ref="D77:K77"/>
    <mergeCell ref="D78:K78"/>
    <mergeCell ref="A69:D69"/>
    <mergeCell ref="E69:I69"/>
    <mergeCell ref="D76:K76"/>
  </mergeCells>
  <dataValidations count="1">
    <dataValidation type="list" allowBlank="1" showInputMessage="1" showErrorMessage="1" sqref="B3:B5">
      <formula1>$A$77:$A$80</formula1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3"/>
  <headerFooter alignWithMargins="0">
    <oddHeader>&amp;C&amp;A&amp;R&amp;"Arial,Grassetto"COMUNE DI CARPI&amp;"Arial,Normale"
Servizio Edilizia Privata</oddHeader>
    <oddFooter>&amp;L&amp;F&amp;R&amp;D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E3" sqref="E3"/>
    </sheetView>
  </sheetViews>
  <sheetFormatPr defaultColWidth="9.140625" defaultRowHeight="12.75"/>
  <cols>
    <col min="1" max="1" width="23.00390625" style="0" customWidth="1"/>
    <col min="2" max="5" width="16.7109375" style="4" customWidth="1"/>
    <col min="6" max="6" width="2.57421875" style="0" customWidth="1"/>
    <col min="7" max="7" width="15.421875" style="0" customWidth="1"/>
  </cols>
  <sheetData>
    <row r="1" ht="12.75">
      <c r="A1" t="s">
        <v>331</v>
      </c>
    </row>
    <row r="2" spans="1:5" ht="12.75">
      <c r="A2" s="308">
        <v>44678</v>
      </c>
      <c r="B2" s="309">
        <f>A2+61</f>
        <v>44739</v>
      </c>
      <c r="C2" s="309">
        <f>A2+183</f>
        <v>44861</v>
      </c>
      <c r="D2" s="309">
        <f>A2+365</f>
        <v>45043</v>
      </c>
      <c r="E2" s="309">
        <f>A2+549</f>
        <v>45227</v>
      </c>
    </row>
    <row r="3" spans="1:8" ht="12.75">
      <c r="A3" s="21" t="s">
        <v>332</v>
      </c>
      <c r="B3" s="310" t="s">
        <v>333</v>
      </c>
      <c r="C3" s="310" t="s">
        <v>334</v>
      </c>
      <c r="D3" s="310" t="s">
        <v>335</v>
      </c>
      <c r="E3" s="310" t="s">
        <v>336</v>
      </c>
      <c r="F3" s="21"/>
      <c r="G3" s="21"/>
      <c r="H3" s="21"/>
    </row>
    <row r="4" spans="1:8" ht="12.75">
      <c r="A4" s="311">
        <f>'DISTINTA ONERI'!K74</f>
        <v>0</v>
      </c>
      <c r="B4" s="312">
        <f>A4/2</f>
        <v>0</v>
      </c>
      <c r="C4" s="312">
        <f>A4/6</f>
        <v>0</v>
      </c>
      <c r="D4" s="312">
        <f>A4/6</f>
        <v>0</v>
      </c>
      <c r="E4" s="312">
        <f>A4/6-0.01</f>
        <v>-0.01</v>
      </c>
      <c r="G4" s="313">
        <f>SUM(B4:E4)</f>
        <v>-0.01</v>
      </c>
      <c r="H4" s="314">
        <f>A4-G4</f>
        <v>0.01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J27"/>
  <sheetViews>
    <sheetView zoomScale="130" zoomScaleNormal="130" zoomScalePageLayoutView="0" workbookViewId="0" topLeftCell="A1">
      <selection activeCell="A16" sqref="A16"/>
    </sheetView>
  </sheetViews>
  <sheetFormatPr defaultColWidth="9.140625" defaultRowHeight="12.75"/>
  <cols>
    <col min="1" max="1" width="46.140625" style="0" customWidth="1"/>
    <col min="2" max="2" width="13.8515625" style="11" customWidth="1"/>
    <col min="3" max="3" width="14.00390625" style="6" customWidth="1"/>
    <col min="4" max="4" width="13.421875" style="7" customWidth="1"/>
    <col min="5" max="5" width="9.28125" style="8" customWidth="1"/>
    <col min="6" max="6" width="14.421875" style="6" customWidth="1"/>
    <col min="7" max="7" width="25.7109375" style="0" customWidth="1"/>
    <col min="8" max="8" width="25.7109375" style="89" customWidth="1"/>
    <col min="9" max="10" width="20.7109375" style="89" customWidth="1"/>
  </cols>
  <sheetData>
    <row r="1" spans="1:10" s="10" customFormat="1" ht="46.5" customHeight="1">
      <c r="A1" s="86" t="s">
        <v>323</v>
      </c>
      <c r="B1" s="296">
        <f>950*1.3</f>
        <v>1235</v>
      </c>
      <c r="C1" s="296">
        <f>1400*1.3</f>
        <v>1820</v>
      </c>
      <c r="D1" s="91">
        <f>(B1+C1)/2*47.5%</f>
        <v>725.5625</v>
      </c>
      <c r="E1" s="90"/>
      <c r="F1" s="90"/>
      <c r="G1" s="104" t="s">
        <v>134</v>
      </c>
      <c r="H1" s="88"/>
      <c r="I1" s="88"/>
      <c r="J1" s="88"/>
    </row>
    <row r="2" spans="1:10" s="10" customFormat="1" ht="27" customHeight="1">
      <c r="A2" s="86" t="s">
        <v>324</v>
      </c>
      <c r="B2" s="296"/>
      <c r="C2" s="296"/>
      <c r="D2" s="91">
        <f>(B2+C2)/2*47.5%</f>
        <v>0</v>
      </c>
      <c r="E2" s="90"/>
      <c r="F2" s="90"/>
      <c r="G2" s="104"/>
      <c r="H2" s="88"/>
      <c r="I2" s="88"/>
      <c r="J2" s="88"/>
    </row>
    <row r="3" spans="2:4" ht="12.75">
      <c r="B3" s="506" t="s">
        <v>325</v>
      </c>
      <c r="C3" s="507"/>
      <c r="D3" s="297">
        <f>D1-D2</f>
        <v>725.5625</v>
      </c>
    </row>
    <row r="4" ht="12.75"/>
    <row r="5" ht="12.75"/>
    <row r="6" ht="12.75">
      <c r="A6" s="22" t="s">
        <v>28</v>
      </c>
    </row>
    <row r="7" spans="2:5" ht="12.75">
      <c r="B7" s="11" t="s">
        <v>29</v>
      </c>
      <c r="C7" s="24" t="s">
        <v>30</v>
      </c>
      <c r="D7" s="24" t="s">
        <v>31</v>
      </c>
      <c r="E7"/>
    </row>
    <row r="8" spans="1:7" ht="12.75">
      <c r="A8" s="87"/>
      <c r="B8" s="307">
        <v>314.95433</v>
      </c>
      <c r="C8" s="307">
        <v>157.82471</v>
      </c>
      <c r="D8" s="307">
        <v>118.07193</v>
      </c>
      <c r="E8"/>
      <c r="F8" s="305" t="s">
        <v>337</v>
      </c>
      <c r="G8" s="305"/>
    </row>
    <row r="9" spans="2:7" ht="12.75">
      <c r="B9" s="6"/>
      <c r="D9" s="6"/>
      <c r="E9"/>
      <c r="G9" s="6"/>
    </row>
    <row r="10" spans="1:7" ht="12.75">
      <c r="A10" s="22"/>
      <c r="B10" s="105"/>
      <c r="C10" s="105"/>
      <c r="D10" s="105"/>
      <c r="E10"/>
      <c r="G10" s="6"/>
    </row>
    <row r="11" spans="1:7" ht="12.75">
      <c r="A11" t="s">
        <v>112</v>
      </c>
      <c r="B11" s="11" t="s">
        <v>113</v>
      </c>
      <c r="C11" s="85" t="s">
        <v>114</v>
      </c>
      <c r="E11"/>
      <c r="G11" s="6"/>
    </row>
    <row r="12" spans="1:7" ht="12.75">
      <c r="A12" s="87"/>
      <c r="B12" s="307">
        <v>69.84604</v>
      </c>
      <c r="C12" s="307">
        <v>106.57873</v>
      </c>
      <c r="D12"/>
      <c r="E12"/>
      <c r="F12" s="305" t="s">
        <v>337</v>
      </c>
      <c r="G12" s="305"/>
    </row>
    <row r="13" spans="2:6" ht="12.75">
      <c r="B13" s="6"/>
      <c r="D13"/>
      <c r="E13"/>
      <c r="F13"/>
    </row>
    <row r="14" spans="2:6" ht="12.75">
      <c r="B14"/>
      <c r="C14" s="52"/>
      <c r="D14"/>
      <c r="E14"/>
      <c r="F14"/>
    </row>
    <row r="15" spans="1:3" ht="12.75">
      <c r="A15" s="315" t="s">
        <v>338</v>
      </c>
      <c r="B15"/>
      <c r="C15" s="52"/>
    </row>
    <row r="16" spans="2:3" ht="12.75">
      <c r="B16"/>
      <c r="C16" s="52"/>
    </row>
    <row r="17" spans="2:7" ht="12.75">
      <c r="B17"/>
      <c r="C17" s="52"/>
      <c r="D17" s="89"/>
      <c r="E17" s="89"/>
      <c r="F17" s="89"/>
      <c r="G17" s="89"/>
    </row>
    <row r="18" spans="2:3" ht="12.75">
      <c r="B18"/>
      <c r="C18" s="52"/>
    </row>
    <row r="19" spans="2:3" ht="12.75">
      <c r="B19"/>
      <c r="C19" s="52"/>
    </row>
    <row r="20" spans="2:3" ht="12.75">
      <c r="B20"/>
      <c r="C20" s="52"/>
    </row>
    <row r="21" spans="2:3" ht="12.75">
      <c r="B21"/>
      <c r="C21" s="52"/>
    </row>
    <row r="22" spans="2:3" ht="12.75">
      <c r="B22"/>
      <c r="C22" s="52"/>
    </row>
    <row r="23" spans="2:3" ht="12.75">
      <c r="B23"/>
      <c r="C23" s="52"/>
    </row>
    <row r="24" spans="2:3" ht="12.75">
      <c r="B24"/>
      <c r="C24" s="52"/>
    </row>
    <row r="25" spans="2:3" ht="12.75">
      <c r="B25"/>
      <c r="C25" s="52"/>
    </row>
    <row r="26" spans="2:3" ht="12.75">
      <c r="B26"/>
      <c r="C26" s="52"/>
    </row>
    <row r="27" spans="2:3" ht="12.75">
      <c r="B27"/>
      <c r="C27" s="52"/>
    </row>
  </sheetData>
  <sheetProtection selectLockedCells="1"/>
  <mergeCells count="1">
    <mergeCell ref="B3:C3"/>
  </mergeCells>
  <hyperlinks>
    <hyperlink ref="G1" r:id="rId1" display="https://wwwt.agenziaentrate.gov.it/geopoi_omi/index.php"/>
  </hyperlink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4"/>
  <headerFooter alignWithMargins="0">
    <oddHeader>&amp;L&amp;"Arial,Grassetto"COMUNE DI CARPI&amp;"Arial,Normale"
Servizio Edilizia Privata
&amp;C&amp;A</oddHeader>
    <oddFooter>&amp;L&amp;F&amp;R&amp;D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J83"/>
  <sheetViews>
    <sheetView showGridLines="0" defaultGridColor="0" zoomScale="130" zoomScaleNormal="130" colorId="8" workbookViewId="0" topLeftCell="A1">
      <selection activeCell="C52" sqref="C52"/>
    </sheetView>
  </sheetViews>
  <sheetFormatPr defaultColWidth="9.140625" defaultRowHeight="12.75"/>
  <cols>
    <col min="1" max="1" width="18.57421875" style="124" customWidth="1"/>
    <col min="2" max="2" width="16.57421875" style="124" customWidth="1"/>
    <col min="3" max="3" width="17.8515625" style="124" customWidth="1"/>
    <col min="4" max="4" width="18.421875" style="124" customWidth="1"/>
    <col min="5" max="5" width="18.140625" style="124" customWidth="1"/>
    <col min="6" max="6" width="18.28125" style="124" customWidth="1"/>
    <col min="7" max="7" width="9.140625" style="124" customWidth="1"/>
    <col min="8" max="8" width="33.140625" style="124" customWidth="1"/>
    <col min="9" max="16384" width="9.140625" style="124" customWidth="1"/>
  </cols>
  <sheetData>
    <row r="1" spans="1:8" ht="42" customHeight="1">
      <c r="A1" s="512" t="s">
        <v>234</v>
      </c>
      <c r="B1" s="512"/>
      <c r="C1" s="512"/>
      <c r="D1" s="512"/>
      <c r="E1" s="512"/>
      <c r="F1" s="512"/>
      <c r="G1" s="512"/>
      <c r="H1" s="123"/>
    </row>
    <row r="2" spans="1:7" ht="23.25" customHeight="1">
      <c r="A2" s="125" t="s">
        <v>139</v>
      </c>
      <c r="B2" s="126"/>
      <c r="C2" s="126"/>
      <c r="D2" s="126"/>
      <c r="E2" s="126"/>
      <c r="F2" s="126"/>
      <c r="G2" s="126"/>
    </row>
    <row r="3" spans="1:7" ht="20.25" customHeight="1">
      <c r="A3" s="127" t="s">
        <v>140</v>
      </c>
      <c r="B3" s="126"/>
      <c r="C3" s="126"/>
      <c r="D3" s="126"/>
      <c r="E3" s="126"/>
      <c r="F3" s="126"/>
      <c r="G3" s="126"/>
    </row>
    <row r="4" spans="1:7" s="129" customFormat="1" ht="23.25" customHeight="1">
      <c r="A4" s="128" t="s">
        <v>141</v>
      </c>
      <c r="B4" s="128" t="s">
        <v>142</v>
      </c>
      <c r="C4" s="128" t="s">
        <v>143</v>
      </c>
      <c r="D4" s="128" t="s">
        <v>144</v>
      </c>
      <c r="E4" s="128" t="s">
        <v>145</v>
      </c>
      <c r="F4" s="128" t="s">
        <v>146</v>
      </c>
      <c r="G4" s="126"/>
    </row>
    <row r="5" spans="1:7" s="129" customFormat="1" ht="12.75">
      <c r="A5" s="130" t="s">
        <v>147</v>
      </c>
      <c r="B5" s="130" t="s">
        <v>148</v>
      </c>
      <c r="C5" s="130" t="s">
        <v>147</v>
      </c>
      <c r="D5" s="130" t="s">
        <v>149</v>
      </c>
      <c r="E5" s="130"/>
      <c r="F5" s="130" t="s">
        <v>150</v>
      </c>
      <c r="G5" s="126"/>
    </row>
    <row r="6" spans="1:7" s="132" customFormat="1" ht="12.75">
      <c r="A6" s="131" t="s">
        <v>151</v>
      </c>
      <c r="B6" s="131" t="s">
        <v>152</v>
      </c>
      <c r="C6" s="131" t="s">
        <v>153</v>
      </c>
      <c r="D6" s="131" t="s">
        <v>154</v>
      </c>
      <c r="E6" s="131" t="s">
        <v>155</v>
      </c>
      <c r="F6" s="131" t="s">
        <v>156</v>
      </c>
      <c r="G6" s="126"/>
    </row>
    <row r="7" spans="1:9" s="129" customFormat="1" ht="15.75" customHeight="1">
      <c r="A7" s="133" t="s">
        <v>157</v>
      </c>
      <c r="B7" s="295"/>
      <c r="C7" s="292">
        <f>Superfici!$P$44</f>
        <v>0</v>
      </c>
      <c r="D7" s="134">
        <f>IF($C$12=0,0,C7/$C$12)</f>
        <v>0</v>
      </c>
      <c r="E7" s="135">
        <v>0</v>
      </c>
      <c r="F7" s="136">
        <f>IF(E7=0,0,(D7*E7))</f>
        <v>0</v>
      </c>
      <c r="G7" s="126"/>
      <c r="I7" s="124"/>
    </row>
    <row r="8" spans="1:9" s="129" customFormat="1" ht="15.75" customHeight="1">
      <c r="A8" s="133" t="s">
        <v>158</v>
      </c>
      <c r="B8" s="295"/>
      <c r="C8" s="292">
        <f>Superfici!$Q$44</f>
        <v>0</v>
      </c>
      <c r="D8" s="134">
        <f>IF($C$12=0,0,C8/$C$12)</f>
        <v>0</v>
      </c>
      <c r="E8" s="135">
        <v>5</v>
      </c>
      <c r="F8" s="136">
        <f>D8*E8</f>
        <v>0</v>
      </c>
      <c r="G8" s="126"/>
      <c r="I8" s="124"/>
    </row>
    <row r="9" spans="1:9" s="129" customFormat="1" ht="15.75" customHeight="1">
      <c r="A9" s="133" t="s">
        <v>159</v>
      </c>
      <c r="B9" s="295"/>
      <c r="C9" s="292">
        <f>Superfici!$R$44</f>
        <v>0</v>
      </c>
      <c r="D9" s="134">
        <f>IF($C$12=0,0,C9/$C$12)</f>
        <v>0</v>
      </c>
      <c r="E9" s="135">
        <v>15</v>
      </c>
      <c r="F9" s="136">
        <f>D9*E9</f>
        <v>0</v>
      </c>
      <c r="G9" s="126"/>
      <c r="I9" s="124"/>
    </row>
    <row r="10" spans="1:9" s="129" customFormat="1" ht="15.75" customHeight="1">
      <c r="A10" s="133" t="s">
        <v>160</v>
      </c>
      <c r="B10" s="295"/>
      <c r="C10" s="292">
        <f>Superfici!$S$44</f>
        <v>0</v>
      </c>
      <c r="D10" s="134">
        <f>IF($C$12=0,0,C10/$C$12)</f>
        <v>0</v>
      </c>
      <c r="E10" s="135">
        <v>30</v>
      </c>
      <c r="F10" s="136">
        <f>D10*E10</f>
        <v>0</v>
      </c>
      <c r="G10" s="126"/>
      <c r="I10" s="124"/>
    </row>
    <row r="11" spans="1:9" s="129" customFormat="1" ht="15.75" customHeight="1">
      <c r="A11" s="133" t="s">
        <v>161</v>
      </c>
      <c r="B11" s="295"/>
      <c r="C11" s="292">
        <f>Superfici!$T$44</f>
        <v>0</v>
      </c>
      <c r="D11" s="134">
        <f>IF($C$12=0,0,C11/$C$12)</f>
        <v>0</v>
      </c>
      <c r="E11" s="135">
        <v>50</v>
      </c>
      <c r="F11" s="137">
        <f>D11*E11</f>
        <v>0</v>
      </c>
      <c r="G11" s="126"/>
      <c r="I11" s="124"/>
    </row>
    <row r="12" spans="1:9" s="129" customFormat="1" ht="15.75" customHeight="1">
      <c r="A12" s="126"/>
      <c r="B12" s="138" t="s">
        <v>162</v>
      </c>
      <c r="C12" s="139">
        <f>SUM(C7:C11)</f>
        <v>0</v>
      </c>
      <c r="D12" s="126"/>
      <c r="E12" s="126"/>
      <c r="F12" s="140" t="s">
        <v>163</v>
      </c>
      <c r="G12" s="141">
        <f>SUM(F7:F11)</f>
        <v>0</v>
      </c>
      <c r="I12" s="124"/>
    </row>
    <row r="13" spans="1:7" ht="20.25" customHeight="1">
      <c r="A13" s="127" t="s">
        <v>164</v>
      </c>
      <c r="B13" s="126"/>
      <c r="C13" s="126"/>
      <c r="D13" s="126"/>
      <c r="E13" s="126"/>
      <c r="F13" s="126"/>
      <c r="G13" s="126"/>
    </row>
    <row r="14" spans="1:9" s="129" customFormat="1" ht="12.75" customHeight="1">
      <c r="A14" s="142" t="s">
        <v>165</v>
      </c>
      <c r="B14" s="143">
        <f>C12</f>
        <v>0</v>
      </c>
      <c r="C14" s="513" t="s">
        <v>166</v>
      </c>
      <c r="D14" s="513"/>
      <c r="E14" s="513" t="s">
        <v>167</v>
      </c>
      <c r="F14" s="514" t="s">
        <v>168</v>
      </c>
      <c r="G14" s="126"/>
      <c r="I14" s="124"/>
    </row>
    <row r="15" spans="1:10" s="129" customFormat="1" ht="16.5" customHeight="1">
      <c r="A15" s="142" t="s">
        <v>169</v>
      </c>
      <c r="B15" s="292">
        <f>Superfici!$U$44</f>
        <v>0</v>
      </c>
      <c r="C15" s="513"/>
      <c r="D15" s="513"/>
      <c r="E15" s="513"/>
      <c r="F15" s="514" t="s">
        <v>168</v>
      </c>
      <c r="G15" s="126"/>
      <c r="I15" s="124"/>
      <c r="J15" s="144"/>
    </row>
    <row r="16" spans="1:10" s="129" customFormat="1" ht="12.75">
      <c r="A16" s="142" t="s">
        <v>170</v>
      </c>
      <c r="B16" s="143">
        <f>B14+B15*0.6</f>
        <v>0</v>
      </c>
      <c r="C16" s="513"/>
      <c r="D16" s="513"/>
      <c r="E16" s="513"/>
      <c r="F16" s="514"/>
      <c r="G16" s="126"/>
      <c r="I16" s="124"/>
      <c r="J16" s="144"/>
    </row>
    <row r="17" spans="1:10" ht="12.75" customHeight="1">
      <c r="A17" s="145" t="s">
        <v>171</v>
      </c>
      <c r="B17" s="135">
        <f>IF(B15=0,0,B15/B14*100)</f>
        <v>0</v>
      </c>
      <c r="C17" s="511" t="s">
        <v>172</v>
      </c>
      <c r="D17" s="511"/>
      <c r="E17" s="135" t="str">
        <f>IF(B17&lt;=50,"1","0")</f>
        <v>1</v>
      </c>
      <c r="F17" s="135">
        <v>0</v>
      </c>
      <c r="G17" s="126"/>
      <c r="H17" s="129"/>
      <c r="J17" s="144"/>
    </row>
    <row r="18" spans="1:10" ht="12.75" customHeight="1">
      <c r="A18" s="146"/>
      <c r="B18" s="147"/>
      <c r="C18" s="511" t="s">
        <v>173</v>
      </c>
      <c r="D18" s="511"/>
      <c r="E18" s="135" t="str">
        <f>IF(AND(B17&gt;50,B17&lt;=75),"1","0")</f>
        <v>0</v>
      </c>
      <c r="F18" s="135">
        <v>10</v>
      </c>
      <c r="G18" s="126"/>
      <c r="H18" s="129"/>
      <c r="J18" s="144"/>
    </row>
    <row r="19" spans="1:10" ht="13.5" customHeight="1">
      <c r="A19" s="126"/>
      <c r="B19" s="148"/>
      <c r="C19" s="511" t="s">
        <v>174</v>
      </c>
      <c r="D19" s="511"/>
      <c r="E19" s="135" t="str">
        <f>IF(AND(B17&gt;75,B17&lt;=100),"1","0")</f>
        <v>0</v>
      </c>
      <c r="F19" s="135">
        <v>20</v>
      </c>
      <c r="G19" s="126"/>
      <c r="H19" s="129"/>
      <c r="J19" s="144"/>
    </row>
    <row r="20" spans="1:10" ht="13.5" customHeight="1">
      <c r="A20" s="126"/>
      <c r="B20" s="148"/>
      <c r="C20" s="511" t="s">
        <v>175</v>
      </c>
      <c r="D20" s="511"/>
      <c r="E20" s="135" t="str">
        <f>IF(B17&gt;100,"1","0")</f>
        <v>0</v>
      </c>
      <c r="F20" s="149">
        <v>30</v>
      </c>
      <c r="G20" s="141">
        <f>E17*F17+E18*F18+E19*F19+E20*F20</f>
        <v>0</v>
      </c>
      <c r="H20" s="129"/>
      <c r="J20" s="144"/>
    </row>
    <row r="21" spans="1:10" ht="12.75">
      <c r="A21" s="126"/>
      <c r="B21" s="126"/>
      <c r="C21" s="126"/>
      <c r="D21" s="126"/>
      <c r="E21" s="126"/>
      <c r="F21" s="126"/>
      <c r="G21" s="126"/>
      <c r="H21" s="129"/>
      <c r="J21" s="144"/>
    </row>
    <row r="22" spans="1:10" ht="15.75">
      <c r="A22" s="125" t="s">
        <v>176</v>
      </c>
      <c r="B22" s="126"/>
      <c r="C22" s="126"/>
      <c r="D22" s="126"/>
      <c r="E22" s="126"/>
      <c r="F22" s="126"/>
      <c r="G22" s="126"/>
      <c r="J22" s="150"/>
    </row>
    <row r="23" spans="1:7" ht="20.25" customHeight="1">
      <c r="A23" s="127" t="s">
        <v>177</v>
      </c>
      <c r="B23" s="126"/>
      <c r="C23" s="126"/>
      <c r="D23" s="126"/>
      <c r="E23" s="126"/>
      <c r="F23" s="126"/>
      <c r="G23" s="126"/>
    </row>
    <row r="24" spans="1:10" s="132" customFormat="1" ht="19.5" customHeight="1">
      <c r="A24" s="151" t="s">
        <v>178</v>
      </c>
      <c r="B24" s="152">
        <f>G20+G12</f>
        <v>0</v>
      </c>
      <c r="C24" s="153" t="s">
        <v>179</v>
      </c>
      <c r="D24" s="154" t="str">
        <f>ROMAN(G70)</f>
        <v>I</v>
      </c>
      <c r="E24" s="153" t="s">
        <v>180</v>
      </c>
      <c r="F24" s="155">
        <f>D71*C71+D72*C72+D73*C73+D74*C74+D75*C75+D76*C76+D77*C77+D78*C78+D79*C79+D80*C80+D81*C81</f>
        <v>0</v>
      </c>
      <c r="G24" s="126"/>
      <c r="J24" s="156"/>
    </row>
    <row r="25" spans="1:10" ht="13.5" customHeight="1">
      <c r="A25" s="157"/>
      <c r="B25" s="126"/>
      <c r="C25" s="126"/>
      <c r="D25" s="126"/>
      <c r="E25" s="126"/>
      <c r="F25" s="126"/>
      <c r="G25" s="126"/>
      <c r="J25" s="150"/>
    </row>
    <row r="26" spans="1:5" ht="22.5" customHeight="1">
      <c r="A26" s="158" t="s">
        <v>181</v>
      </c>
      <c r="B26" s="158" t="s">
        <v>182</v>
      </c>
      <c r="C26" s="158" t="s">
        <v>181</v>
      </c>
      <c r="D26" s="158" t="s">
        <v>182</v>
      </c>
      <c r="E26" s="126"/>
    </row>
    <row r="27" spans="1:5" ht="12.75">
      <c r="A27" s="159" t="s">
        <v>183</v>
      </c>
      <c r="B27" s="160" t="s">
        <v>184</v>
      </c>
      <c r="C27" s="159" t="s">
        <v>185</v>
      </c>
      <c r="D27" s="160" t="s">
        <v>186</v>
      </c>
      <c r="E27" s="126"/>
    </row>
    <row r="28" spans="1:5" ht="12.75">
      <c r="A28" s="159" t="s">
        <v>187</v>
      </c>
      <c r="B28" s="160" t="s">
        <v>188</v>
      </c>
      <c r="C28" s="159" t="s">
        <v>189</v>
      </c>
      <c r="D28" s="160" t="s">
        <v>190</v>
      </c>
      <c r="E28" s="126"/>
    </row>
    <row r="29" spans="1:5" ht="12.75">
      <c r="A29" s="159" t="s">
        <v>191</v>
      </c>
      <c r="B29" s="160" t="s">
        <v>192</v>
      </c>
      <c r="C29" s="159" t="s">
        <v>193</v>
      </c>
      <c r="D29" s="160" t="s">
        <v>194</v>
      </c>
      <c r="E29" s="126"/>
    </row>
    <row r="30" spans="1:5" ht="12.75">
      <c r="A30" s="159" t="s">
        <v>195</v>
      </c>
      <c r="B30" s="160" t="s">
        <v>196</v>
      </c>
      <c r="C30" s="159" t="s">
        <v>197</v>
      </c>
      <c r="D30" s="160" t="s">
        <v>198</v>
      </c>
      <c r="E30" s="126"/>
    </row>
    <row r="31" spans="1:5" ht="12.75">
      <c r="A31" s="159" t="s">
        <v>199</v>
      </c>
      <c r="B31" s="160" t="s">
        <v>200</v>
      </c>
      <c r="C31" s="159" t="s">
        <v>201</v>
      </c>
      <c r="D31" s="160" t="s">
        <v>202</v>
      </c>
      <c r="E31" s="126"/>
    </row>
    <row r="32" spans="1:6" ht="12.75">
      <c r="A32" s="159" t="s">
        <v>203</v>
      </c>
      <c r="B32" s="160" t="s">
        <v>204</v>
      </c>
      <c r="C32" s="161"/>
      <c r="D32" s="161"/>
      <c r="E32" s="162"/>
      <c r="F32" s="126"/>
    </row>
    <row r="33" spans="1:10" ht="15.75">
      <c r="A33" s="163"/>
      <c r="B33" s="126"/>
      <c r="C33" s="126"/>
      <c r="D33" s="126"/>
      <c r="E33" s="126"/>
      <c r="F33" s="126"/>
      <c r="G33" s="126"/>
      <c r="J33" s="150"/>
    </row>
    <row r="34" spans="1:10" ht="15.75">
      <c r="A34" s="125" t="s">
        <v>205</v>
      </c>
      <c r="B34" s="126"/>
      <c r="C34" s="126"/>
      <c r="D34" s="126"/>
      <c r="E34" s="126"/>
      <c r="F34" s="126"/>
      <c r="G34" s="126"/>
      <c r="J34" s="150"/>
    </row>
    <row r="35" spans="1:7" ht="21.75" customHeight="1">
      <c r="A35" s="164" t="s">
        <v>235</v>
      </c>
      <c r="B35" s="288">
        <f>'COSTO valori OMI'!$D$3</f>
        <v>725.5625</v>
      </c>
      <c r="C35" s="165" t="s">
        <v>206</v>
      </c>
      <c r="E35" s="126"/>
      <c r="F35" s="126"/>
      <c r="G35" s="126"/>
    </row>
    <row r="36" spans="1:7" ht="29.25" customHeight="1">
      <c r="A36" s="508"/>
      <c r="B36" s="508"/>
      <c r="C36" s="508"/>
      <c r="D36" s="508"/>
      <c r="E36" s="508"/>
      <c r="F36" s="508"/>
      <c r="G36" s="508"/>
    </row>
    <row r="37" spans="1:7" ht="15.75" customHeight="1">
      <c r="A37" s="127"/>
      <c r="B37" s="126"/>
      <c r="C37" s="126"/>
      <c r="D37" s="126"/>
      <c r="F37" s="126"/>
      <c r="G37" s="126"/>
    </row>
    <row r="38" spans="1:7" ht="15">
      <c r="A38" s="125" t="s">
        <v>207</v>
      </c>
      <c r="B38" s="126"/>
      <c r="C38" s="126"/>
      <c r="D38" s="126"/>
      <c r="E38" s="126"/>
      <c r="F38" s="126"/>
      <c r="G38" s="126"/>
    </row>
    <row r="39" spans="1:7" ht="12.75">
      <c r="A39" s="127"/>
      <c r="B39" s="126"/>
      <c r="C39" s="126"/>
      <c r="G39" s="126"/>
    </row>
    <row r="40" spans="2:7" ht="15">
      <c r="B40" s="166" t="s">
        <v>208</v>
      </c>
      <c r="C40" s="167">
        <f>B35*(100+F24)/100</f>
        <v>725.5625</v>
      </c>
      <c r="D40" s="165" t="s">
        <v>206</v>
      </c>
      <c r="F40" s="126"/>
      <c r="G40" s="126"/>
    </row>
    <row r="41" spans="1:7" ht="12.75">
      <c r="A41" s="163" t="s">
        <v>209</v>
      </c>
      <c r="B41" s="126"/>
      <c r="C41" s="126"/>
      <c r="D41" s="168"/>
      <c r="E41" s="126"/>
      <c r="F41" s="169"/>
      <c r="G41" s="126"/>
    </row>
    <row r="42" spans="1:7" ht="12.75">
      <c r="A42" s="170" t="s">
        <v>236</v>
      </c>
      <c r="B42" s="126"/>
      <c r="C42" s="126"/>
      <c r="D42" s="126"/>
      <c r="E42" s="126"/>
      <c r="G42" s="126"/>
    </row>
    <row r="43" spans="1:7" ht="12.75">
      <c r="A43" s="170" t="s">
        <v>237</v>
      </c>
      <c r="B43" s="126"/>
      <c r="C43" s="126"/>
      <c r="D43" s="126"/>
      <c r="E43" s="126"/>
      <c r="F43" s="126"/>
      <c r="G43" s="126"/>
    </row>
    <row r="44" spans="1:7" ht="19.5" customHeight="1">
      <c r="A44" s="126"/>
      <c r="B44" s="126"/>
      <c r="C44" s="126"/>
      <c r="D44" s="126"/>
      <c r="E44" s="126"/>
      <c r="F44" s="126"/>
      <c r="G44" s="126"/>
    </row>
    <row r="45" spans="1:7" ht="15">
      <c r="A45" s="171" t="s">
        <v>210</v>
      </c>
      <c r="B45" s="172"/>
      <c r="C45" s="172"/>
      <c r="D45" s="172"/>
      <c r="E45" s="173"/>
      <c r="F45" s="173"/>
      <c r="G45" s="174"/>
    </row>
    <row r="46" spans="1:7" ht="20.25" customHeight="1">
      <c r="A46" s="175"/>
      <c r="B46" s="176" t="s">
        <v>238</v>
      </c>
      <c r="C46" s="176">
        <f>G47*B16*(1-0/100)*(1-F54/100)</f>
        <v>0</v>
      </c>
      <c r="D46" s="177" t="s">
        <v>211</v>
      </c>
      <c r="E46" s="178"/>
      <c r="F46" s="179" t="s">
        <v>212</v>
      </c>
      <c r="G46" s="180">
        <f>C40*E52/100</f>
        <v>43.53375</v>
      </c>
    </row>
    <row r="47" spans="1:9" s="126" customFormat="1" ht="20.25" customHeight="1">
      <c r="A47" s="181" t="s">
        <v>213</v>
      </c>
      <c r="E47" s="182" t="str">
        <f>IF(G46&gt;25,"&gt; 25€/mq, pertanto:","&lt; 25€/mq, pertanto:")</f>
        <v>&gt; 25€/mq, pertanto:</v>
      </c>
      <c r="F47" s="183" t="s">
        <v>214</v>
      </c>
      <c r="G47" s="184">
        <f>IF(G46&lt;25,"25",G46)</f>
        <v>43.53375</v>
      </c>
      <c r="I47" s="124"/>
    </row>
    <row r="48" spans="1:7" ht="22.5" customHeight="1">
      <c r="A48" s="185" t="s">
        <v>209</v>
      </c>
      <c r="G48" s="186"/>
    </row>
    <row r="49" spans="1:7" ht="15.75" customHeight="1">
      <c r="A49" s="187" t="s">
        <v>239</v>
      </c>
      <c r="G49" s="188"/>
    </row>
    <row r="50" spans="1:7" ht="15.75" customHeight="1">
      <c r="A50" s="187" t="s">
        <v>240</v>
      </c>
      <c r="G50" s="189"/>
    </row>
    <row r="51" spans="1:7" ht="28.5" customHeight="1">
      <c r="A51" s="509" t="s">
        <v>215</v>
      </c>
      <c r="B51" s="509"/>
      <c r="C51" s="509"/>
      <c r="D51" s="509"/>
      <c r="E51" s="509"/>
      <c r="F51" s="509"/>
      <c r="G51" s="189"/>
    </row>
    <row r="52" spans="1:7" ht="19.5" customHeight="1">
      <c r="A52" s="190"/>
      <c r="B52" s="183" t="s">
        <v>216</v>
      </c>
      <c r="C52" s="291" t="s">
        <v>217</v>
      </c>
      <c r="D52" s="183" t="s">
        <v>218</v>
      </c>
      <c r="E52" s="191">
        <f>IF(C52="SI",20,IF(C52="NO",G68))</f>
        <v>6</v>
      </c>
      <c r="G52" s="188"/>
    </row>
    <row r="53" spans="1:7" ht="19.5" customHeight="1">
      <c r="A53" s="187" t="s">
        <v>241</v>
      </c>
      <c r="B53" s="183"/>
      <c r="C53" s="183"/>
      <c r="D53" s="183"/>
      <c r="E53" s="191"/>
      <c r="G53" s="188"/>
    </row>
    <row r="54" spans="1:7" ht="51.75" customHeight="1">
      <c r="A54" s="510" t="s">
        <v>242</v>
      </c>
      <c r="B54" s="510"/>
      <c r="C54" s="510"/>
      <c r="D54" s="510"/>
      <c r="E54" s="510"/>
      <c r="F54" s="290">
        <v>0</v>
      </c>
      <c r="G54" s="192" t="s">
        <v>219</v>
      </c>
    </row>
    <row r="55" spans="1:7" ht="18.75" customHeight="1">
      <c r="A55" s="508"/>
      <c r="B55" s="508"/>
      <c r="C55" s="508"/>
      <c r="D55" s="508"/>
      <c r="E55" s="508"/>
      <c r="F55" s="508"/>
      <c r="G55" s="508"/>
    </row>
    <row r="56" ht="12.75">
      <c r="A56" s="193" t="s">
        <v>220</v>
      </c>
    </row>
    <row r="57" spans="1:8" ht="22.5" customHeight="1">
      <c r="A57" s="158" t="s">
        <v>221</v>
      </c>
      <c r="B57" s="158" t="s">
        <v>219</v>
      </c>
      <c r="C57" s="158" t="s">
        <v>167</v>
      </c>
      <c r="D57" s="194"/>
      <c r="E57" s="194"/>
      <c r="F57" s="194"/>
      <c r="G57" s="194"/>
      <c r="H57" s="194"/>
    </row>
    <row r="58" spans="1:8" ht="12.75">
      <c r="A58" s="158" t="s">
        <v>222</v>
      </c>
      <c r="B58" s="158">
        <v>5</v>
      </c>
      <c r="C58" s="158" t="str">
        <f>IF(C40&lt;=500,"1","0")</f>
        <v>0</v>
      </c>
      <c r="D58" s="194"/>
      <c r="E58" s="194"/>
      <c r="F58" s="194"/>
      <c r="G58" s="194"/>
      <c r="H58" s="194"/>
    </row>
    <row r="59" spans="1:8" ht="12.75">
      <c r="A59" s="158" t="s">
        <v>223</v>
      </c>
      <c r="B59" s="158">
        <v>6</v>
      </c>
      <c r="C59" s="158" t="str">
        <f>IF(AND(C40&gt;500,C40&lt;=1000),"1","0")</f>
        <v>1</v>
      </c>
      <c r="D59" s="194"/>
      <c r="E59" s="194"/>
      <c r="F59" s="194"/>
      <c r="G59" s="194"/>
      <c r="H59" s="194"/>
    </row>
    <row r="60" spans="1:8" ht="12.75">
      <c r="A60" s="158" t="s">
        <v>224</v>
      </c>
      <c r="B60" s="158">
        <v>7</v>
      </c>
      <c r="C60" s="158" t="str">
        <f>IF(AND(C40&gt;1000,C40&lt;=1500),"1","0")</f>
        <v>0</v>
      </c>
      <c r="D60" s="194"/>
      <c r="E60" s="194"/>
      <c r="F60" s="194"/>
      <c r="G60" s="194"/>
      <c r="H60" s="194"/>
    </row>
    <row r="61" spans="1:8" ht="12.75">
      <c r="A61" s="158" t="s">
        <v>225</v>
      </c>
      <c r="B61" s="158">
        <v>8</v>
      </c>
      <c r="C61" s="158" t="str">
        <f>IF(AND(C40&gt;1500,C40&lt;=2000),"1","0")</f>
        <v>0</v>
      </c>
      <c r="D61" s="194"/>
      <c r="E61" s="194"/>
      <c r="F61" s="194"/>
      <c r="G61" s="194"/>
      <c r="H61" s="194"/>
    </row>
    <row r="62" spans="1:8" ht="12.75">
      <c r="A62" s="158" t="s">
        <v>226</v>
      </c>
      <c r="B62" s="158">
        <v>9</v>
      </c>
      <c r="C62" s="158" t="str">
        <f>IF(AND(C40&gt;2000,C40&lt;=2500),"1","0")</f>
        <v>0</v>
      </c>
      <c r="D62" s="194"/>
      <c r="E62" s="194"/>
      <c r="F62" s="194"/>
      <c r="G62" s="194"/>
      <c r="H62" s="194"/>
    </row>
    <row r="63" spans="1:8" ht="12.75">
      <c r="A63" s="158" t="s">
        <v>227</v>
      </c>
      <c r="B63" s="158">
        <v>10</v>
      </c>
      <c r="C63" s="158" t="str">
        <f>IF(AND(C40&gt;2500,C40&lt;=3000),"1","0")</f>
        <v>0</v>
      </c>
      <c r="D63" s="194"/>
      <c r="E63" s="194"/>
      <c r="F63" s="194"/>
      <c r="G63" s="194"/>
      <c r="H63" s="194"/>
    </row>
    <row r="64" spans="1:8" ht="12.75">
      <c r="A64" s="158" t="s">
        <v>228</v>
      </c>
      <c r="B64" s="158">
        <v>11</v>
      </c>
      <c r="C64" s="158" t="str">
        <f>IF(AND(C40&gt;3000,C40&lt;=3500),"1","0")</f>
        <v>0</v>
      </c>
      <c r="D64" s="194"/>
      <c r="E64" s="194"/>
      <c r="F64" s="194"/>
      <c r="G64" s="194"/>
      <c r="H64" s="194"/>
    </row>
    <row r="65" spans="1:8" ht="12.75">
      <c r="A65" s="158" t="s">
        <v>229</v>
      </c>
      <c r="B65" s="158">
        <v>12</v>
      </c>
      <c r="C65" s="158" t="str">
        <f>IF(AND(C40&gt;3500,C40&lt;=4000),"1","0")</f>
        <v>0</v>
      </c>
      <c r="D65" s="194"/>
      <c r="E65" s="194"/>
      <c r="F65" s="194"/>
      <c r="G65" s="194"/>
      <c r="H65" s="194"/>
    </row>
    <row r="66" spans="1:8" ht="12.75">
      <c r="A66" s="158" t="s">
        <v>230</v>
      </c>
      <c r="B66" s="158">
        <v>13</v>
      </c>
      <c r="C66" s="158" t="str">
        <f>IF(AND(C40&gt;4000,C40&lt;=4500),"1","0")</f>
        <v>0</v>
      </c>
      <c r="D66" s="194"/>
      <c r="E66" s="194"/>
      <c r="F66" s="194"/>
      <c r="G66" s="194"/>
      <c r="H66" s="194"/>
    </row>
    <row r="67" spans="1:8" ht="12.75">
      <c r="A67" s="158" t="s">
        <v>231</v>
      </c>
      <c r="B67" s="158">
        <v>14</v>
      </c>
      <c r="C67" s="158" t="str">
        <f>IF(C40&gt;4500,"1","0")</f>
        <v>0</v>
      </c>
      <c r="D67" s="194"/>
      <c r="E67" s="194"/>
      <c r="F67" s="194"/>
      <c r="G67" s="194"/>
      <c r="H67" s="194"/>
    </row>
    <row r="68" spans="1:8" ht="12.75" hidden="1">
      <c r="A68" s="195"/>
      <c r="B68" s="195"/>
      <c r="C68" s="195"/>
      <c r="D68" s="194"/>
      <c r="E68" s="194"/>
      <c r="F68" s="196" t="s">
        <v>218</v>
      </c>
      <c r="G68" s="196">
        <f>B58*C58+B59*C59+B60*C60+B61*C61+B62*C62+B63*C63+B64*C64+B65*C65+B66*C66+B67*C67</f>
        <v>6</v>
      </c>
      <c r="H68" s="194"/>
    </row>
    <row r="69" spans="4:8" ht="10.5" customHeight="1" hidden="1">
      <c r="D69" s="194"/>
      <c r="E69" s="194"/>
      <c r="F69" s="194"/>
      <c r="G69" s="194"/>
      <c r="H69" s="194"/>
    </row>
    <row r="70" spans="1:8" ht="12.75" hidden="1">
      <c r="A70" s="158" t="s">
        <v>181</v>
      </c>
      <c r="B70" s="158" t="s">
        <v>232</v>
      </c>
      <c r="C70" s="158" t="s">
        <v>233</v>
      </c>
      <c r="D70" s="197" t="s">
        <v>167</v>
      </c>
      <c r="E70" s="194"/>
      <c r="F70" s="198" t="s">
        <v>179</v>
      </c>
      <c r="G70" s="196">
        <f>D71*B71+D72*B72+D73*B73+D74*B74+D75*B75+D76*B76+D77*B77+D78*B78+D79*B79+D80*B80+D81*B81</f>
        <v>1</v>
      </c>
      <c r="H70" s="194"/>
    </row>
    <row r="71" spans="1:8" ht="12.75" hidden="1">
      <c r="A71" s="145" t="s">
        <v>183</v>
      </c>
      <c r="B71" s="199">
        <v>1</v>
      </c>
      <c r="C71" s="199">
        <v>0</v>
      </c>
      <c r="D71" s="200" t="str">
        <f>IF(B24&lt;=5,"1","0")</f>
        <v>1</v>
      </c>
      <c r="E71" s="194"/>
      <c r="F71" s="198" t="s">
        <v>180</v>
      </c>
      <c r="G71" s="201">
        <f>D71*C71+D72*C72+D73*C73+D74*C74+D75*C75+D76*C76+D77*C77+D78*C78+D79*C79+D80*C80+D81*C81</f>
        <v>0</v>
      </c>
      <c r="H71" s="194"/>
    </row>
    <row r="72" spans="1:8" ht="12.75" hidden="1">
      <c r="A72" s="145" t="s">
        <v>187</v>
      </c>
      <c r="B72" s="199">
        <v>2</v>
      </c>
      <c r="C72" s="199">
        <v>5</v>
      </c>
      <c r="D72" s="200" t="str">
        <f>IF(AND(B24&gt;5,B24&lt;=10),"1","0")</f>
        <v>0</v>
      </c>
      <c r="E72" s="194"/>
      <c r="F72" s="194"/>
      <c r="G72" s="194"/>
      <c r="H72" s="194"/>
    </row>
    <row r="73" spans="1:8" ht="12.75" hidden="1">
      <c r="A73" s="145" t="s">
        <v>191</v>
      </c>
      <c r="B73" s="199">
        <v>3</v>
      </c>
      <c r="C73" s="199">
        <v>10</v>
      </c>
      <c r="D73" s="200" t="str">
        <f>IF(AND(B24&gt;10,B24&lt;=15),"1","0")</f>
        <v>0</v>
      </c>
      <c r="E73" s="194"/>
      <c r="F73" s="194"/>
      <c r="G73" s="194"/>
      <c r="H73" s="194"/>
    </row>
    <row r="74" spans="1:8" ht="12.75" hidden="1">
      <c r="A74" s="145" t="s">
        <v>195</v>
      </c>
      <c r="B74" s="199">
        <v>4</v>
      </c>
      <c r="C74" s="199">
        <v>15</v>
      </c>
      <c r="D74" s="200" t="str">
        <f>IF(AND(B24&gt;15,B24&lt;=20),"1","0")</f>
        <v>0</v>
      </c>
      <c r="E74" s="194"/>
      <c r="F74" s="194"/>
      <c r="G74" s="194"/>
      <c r="H74" s="194"/>
    </row>
    <row r="75" spans="1:8" ht="12.75" hidden="1">
      <c r="A75" s="145" t="s">
        <v>199</v>
      </c>
      <c r="B75" s="199">
        <v>5</v>
      </c>
      <c r="C75" s="199">
        <v>20</v>
      </c>
      <c r="D75" s="200" t="str">
        <f>IF(AND(B24&gt;20,B24&lt;=25),"1","0")</f>
        <v>0</v>
      </c>
      <c r="E75" s="194"/>
      <c r="F75" s="194"/>
      <c r="G75" s="194"/>
      <c r="H75" s="194"/>
    </row>
    <row r="76" spans="1:8" ht="12.75" hidden="1">
      <c r="A76" s="145" t="s">
        <v>203</v>
      </c>
      <c r="B76" s="199">
        <v>6</v>
      </c>
      <c r="C76" s="199">
        <v>25</v>
      </c>
      <c r="D76" s="200" t="str">
        <f>IF(AND(B24&gt;25,B24&lt;=30),"1","0")</f>
        <v>0</v>
      </c>
      <c r="E76" s="194"/>
      <c r="F76" s="194"/>
      <c r="G76" s="194"/>
      <c r="H76" s="194"/>
    </row>
    <row r="77" spans="1:8" ht="12.75" hidden="1">
      <c r="A77" s="145" t="s">
        <v>185</v>
      </c>
      <c r="B77" s="199">
        <v>7</v>
      </c>
      <c r="C77" s="199">
        <v>30</v>
      </c>
      <c r="D77" s="200" t="str">
        <f>IF(AND(B24&gt;30,B24&lt;=35),"1","0")</f>
        <v>0</v>
      </c>
      <c r="E77" s="194"/>
      <c r="F77" s="194"/>
      <c r="G77" s="194"/>
      <c r="H77" s="194"/>
    </row>
    <row r="78" spans="1:8" ht="12.75" hidden="1">
      <c r="A78" s="145" t="s">
        <v>189</v>
      </c>
      <c r="B78" s="199">
        <v>8</v>
      </c>
      <c r="C78" s="199">
        <v>35</v>
      </c>
      <c r="D78" s="200" t="str">
        <f>IF(AND(B24&gt;35,B24&lt;=40),"1","0")</f>
        <v>0</v>
      </c>
      <c r="E78" s="194"/>
      <c r="F78" s="194"/>
      <c r="G78" s="194"/>
      <c r="H78" s="194"/>
    </row>
    <row r="79" spans="1:8" ht="12.75" hidden="1">
      <c r="A79" s="145" t="s">
        <v>193</v>
      </c>
      <c r="B79" s="199">
        <v>9</v>
      </c>
      <c r="C79" s="199">
        <v>40</v>
      </c>
      <c r="D79" s="200" t="str">
        <f>IF(AND(B24&gt;40,B24&lt;=45),"1","0")</f>
        <v>0</v>
      </c>
      <c r="E79" s="194"/>
      <c r="F79" s="194"/>
      <c r="G79" s="194"/>
      <c r="H79" s="194"/>
    </row>
    <row r="80" spans="1:8" ht="12.75" hidden="1">
      <c r="A80" s="145" t="s">
        <v>197</v>
      </c>
      <c r="B80" s="199">
        <v>10</v>
      </c>
      <c r="C80" s="199">
        <v>45</v>
      </c>
      <c r="D80" s="200" t="str">
        <f>IF(AND(B24&gt;45,B24&lt;=50),"1","0")</f>
        <v>0</v>
      </c>
      <c r="E80" s="194"/>
      <c r="F80" s="194"/>
      <c r="G80" s="194"/>
      <c r="H80" s="194"/>
    </row>
    <row r="81" spans="1:8" ht="12.75" hidden="1">
      <c r="A81" s="145" t="s">
        <v>201</v>
      </c>
      <c r="B81" s="199">
        <v>11</v>
      </c>
      <c r="C81" s="199">
        <v>50</v>
      </c>
      <c r="D81" s="200" t="str">
        <f>IF(B24&gt;50,"1","0")</f>
        <v>0</v>
      </c>
      <c r="E81" s="194"/>
      <c r="F81" s="194"/>
      <c r="G81" s="194"/>
      <c r="H81" s="194"/>
    </row>
    <row r="82" spans="4:8" ht="12.75">
      <c r="D82" s="194"/>
      <c r="E82" s="194"/>
      <c r="F82" s="194"/>
      <c r="G82" s="194"/>
      <c r="H82" s="194"/>
    </row>
    <row r="83" spans="4:8" ht="12.75">
      <c r="D83" s="194"/>
      <c r="E83" s="194"/>
      <c r="F83" s="194"/>
      <c r="G83" s="194"/>
      <c r="H83" s="194"/>
    </row>
  </sheetData>
  <sheetProtection sheet="1" selectLockedCells="1"/>
  <mergeCells count="12">
    <mergeCell ref="A1:G1"/>
    <mergeCell ref="C14:D16"/>
    <mergeCell ref="E14:E16"/>
    <mergeCell ref="F14:F16"/>
    <mergeCell ref="C17:D17"/>
    <mergeCell ref="C18:D18"/>
    <mergeCell ref="C19:D19"/>
    <mergeCell ref="C20:D20"/>
    <mergeCell ref="A36:G36"/>
    <mergeCell ref="A51:F51"/>
    <mergeCell ref="A54:E54"/>
    <mergeCell ref="A55:G55"/>
  </mergeCells>
  <printOptions/>
  <pageMargins left="0.5402777777777777" right="0.4" top="0.7902777777777777" bottom="0.6701388888888888" header="0.5118055555555555" footer="0.5118055555555555"/>
  <pageSetup fitToHeight="0" fitToWidth="1" horizontalDpi="300" verticalDpi="3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M44"/>
  <sheetViews>
    <sheetView showGridLines="0" defaultGridColor="0" zoomScale="120" zoomScaleNormal="120" colorId="8" workbookViewId="0" topLeftCell="A14">
      <selection activeCell="C28" sqref="C28"/>
    </sheetView>
  </sheetViews>
  <sheetFormatPr defaultColWidth="9.140625" defaultRowHeight="12.75"/>
  <cols>
    <col min="1" max="1" width="21.421875" style="202" customWidth="1"/>
    <col min="2" max="2" width="13.8515625" style="202" customWidth="1"/>
    <col min="3" max="3" width="9.8515625" style="202" customWidth="1"/>
    <col min="4" max="7" width="7.28125" style="202" customWidth="1"/>
    <col min="8" max="8" width="6.140625" style="202" customWidth="1"/>
    <col min="9" max="12" width="7.28125" style="202" customWidth="1"/>
    <col min="13" max="13" width="9.57421875" style="202" customWidth="1"/>
    <col min="14" max="16384" width="9.140625" style="202" customWidth="1"/>
  </cols>
  <sheetData>
    <row r="1" spans="1:13" ht="42" customHeight="1">
      <c r="A1" s="521" t="s">
        <v>273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7" ht="23.25" customHeight="1">
      <c r="A2" s="203" t="s">
        <v>243</v>
      </c>
      <c r="B2" s="204"/>
      <c r="C2" s="204"/>
      <c r="D2" s="204"/>
      <c r="E2" s="204"/>
      <c r="F2" s="204"/>
      <c r="G2" s="204"/>
    </row>
    <row r="3" spans="1:7" ht="20.25" customHeight="1">
      <c r="A3" s="205" t="s">
        <v>244</v>
      </c>
      <c r="B3" s="204"/>
      <c r="C3" s="204"/>
      <c r="D3" s="204"/>
      <c r="E3" s="204"/>
      <c r="F3" s="204"/>
      <c r="G3" s="204"/>
    </row>
    <row r="4" spans="1:13" s="207" customFormat="1" ht="23.25" customHeight="1">
      <c r="A4" s="522" t="s">
        <v>245</v>
      </c>
      <c r="B4" s="522"/>
      <c r="C4" s="522" t="s">
        <v>246</v>
      </c>
      <c r="D4" s="522"/>
      <c r="E4" s="522"/>
      <c r="F4" s="522"/>
      <c r="G4" s="522"/>
      <c r="H4" s="522"/>
      <c r="I4" s="522"/>
      <c r="J4" s="522"/>
      <c r="K4" s="522"/>
      <c r="L4" s="522"/>
      <c r="M4" s="522"/>
    </row>
    <row r="5" spans="1:13" s="207" customFormat="1" ht="24">
      <c r="A5" s="522"/>
      <c r="B5" s="522"/>
      <c r="C5" s="208">
        <v>10</v>
      </c>
      <c r="D5" s="208">
        <v>20</v>
      </c>
      <c r="E5" s="208">
        <v>30</v>
      </c>
      <c r="F5" s="208">
        <v>40</v>
      </c>
      <c r="G5" s="208">
        <v>50</v>
      </c>
      <c r="H5" s="208">
        <v>60</v>
      </c>
      <c r="I5" s="208">
        <v>70</v>
      </c>
      <c r="J5" s="208">
        <v>80</v>
      </c>
      <c r="K5" s="208">
        <v>90</v>
      </c>
      <c r="L5" s="208">
        <v>100</v>
      </c>
      <c r="M5" s="209" t="s">
        <v>247</v>
      </c>
    </row>
    <row r="6" spans="1:13" s="212" customFormat="1" ht="12.75">
      <c r="A6" s="210" t="s">
        <v>248</v>
      </c>
      <c r="B6" s="211">
        <v>0.05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09">
        <f>0.05*C6*0.1+0.05*D6*0.2+0.05*E6*0.3+0.05*F6*0.4+0.05*G6*0.5+0.05*H6*0.6+0.05*I6*0.7+0.05*J6*0.8+0.05*K6*0.9+0.05*L6</f>
        <v>0</v>
      </c>
    </row>
    <row r="7" spans="1:13" s="207" customFormat="1" ht="15.75" customHeight="1">
      <c r="A7" s="210" t="s">
        <v>249</v>
      </c>
      <c r="B7" s="523">
        <v>0.2</v>
      </c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17">
        <f>0.2*C7*0.1+0.2*D7*0.2+0.2*E7*0.3+0.2*F7*0.4+0.2*G7*0.5+0.2*H7*0.6+0.2*I7*0.7+0.2*J7*0.8+0.2*K7*0.9+0.2*L7</f>
        <v>0</v>
      </c>
    </row>
    <row r="8" spans="1:13" s="207" customFormat="1" ht="15.75" customHeight="1">
      <c r="A8" s="210" t="s">
        <v>250</v>
      </c>
      <c r="B8" s="523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17"/>
    </row>
    <row r="9" spans="1:13" s="207" customFormat="1" ht="15.75" customHeight="1">
      <c r="A9" s="210" t="s">
        <v>251</v>
      </c>
      <c r="B9" s="523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17"/>
    </row>
    <row r="10" spans="1:13" s="207" customFormat="1" ht="15.75" customHeight="1">
      <c r="A10" s="210" t="s">
        <v>252</v>
      </c>
      <c r="B10" s="211">
        <v>0.1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09">
        <f>0.1*C10*0.1+0.1*D10*0.2+0.1*E10*0.3+0.1*F10*0.4+0.1*G10*0.5+0.1*H10*0.6+0.1*I10*0.7+0.1*J10*0.8+0.1*K10*0.9+0.1*L10</f>
        <v>0</v>
      </c>
    </row>
    <row r="11" spans="1:13" s="207" customFormat="1" ht="15.75" customHeight="1">
      <c r="A11" s="210" t="s">
        <v>253</v>
      </c>
      <c r="B11" s="211">
        <v>0.05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09">
        <f>0.05*C11*0.1+0.05*D11*0.2+0.05*E11*0.3+0.05*F11*0.4+0.05*G11*0.5+0.05*H11*0.6+0.05*I11*0.7+0.05*J11*0.8+0.05*K11*0.9+0.05*L11</f>
        <v>0</v>
      </c>
    </row>
    <row r="12" spans="1:13" s="207" customFormat="1" ht="15.75" customHeight="1">
      <c r="A12" s="210" t="s">
        <v>254</v>
      </c>
      <c r="B12" s="211">
        <v>0.1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09">
        <f>0.1*C12*0.1+0.1*D12*0.2+0.1*E12*0.3+0.1*F12*0.4+0.1*G12*0.5+0.1*H12*0.6+0.1*I12*0.7+0.1*J12*0.8+0.1*K12*0.9+0.1*L12</f>
        <v>0</v>
      </c>
    </row>
    <row r="13" spans="1:13" s="215" customFormat="1" ht="14.25" customHeight="1">
      <c r="A13" s="213" t="s">
        <v>255</v>
      </c>
      <c r="B13" s="214"/>
      <c r="C13" s="214"/>
      <c r="D13" s="214"/>
      <c r="E13" s="214"/>
      <c r="F13" s="214"/>
      <c r="G13" s="214"/>
      <c r="H13" s="214"/>
      <c r="I13" s="214"/>
      <c r="J13" s="214"/>
      <c r="K13" s="518" t="s">
        <v>256</v>
      </c>
      <c r="L13" s="518"/>
      <c r="M13" s="206">
        <f>SUM(M6:M12)</f>
        <v>0</v>
      </c>
    </row>
    <row r="14" spans="1:13" s="207" customFormat="1" ht="14.25" customHeight="1">
      <c r="A14" s="213" t="s">
        <v>257</v>
      </c>
      <c r="B14" s="214"/>
      <c r="C14" s="214"/>
      <c r="D14" s="214"/>
      <c r="E14" s="214"/>
      <c r="F14" s="214"/>
      <c r="G14" s="214"/>
      <c r="H14" s="214"/>
      <c r="I14" s="214"/>
      <c r="J14" s="214"/>
      <c r="K14" s="518" t="s">
        <v>258</v>
      </c>
      <c r="L14" s="518"/>
      <c r="M14" s="206">
        <f>M13</f>
        <v>0</v>
      </c>
    </row>
    <row r="15" spans="1:13" s="207" customFormat="1" ht="14.25" customHeight="1">
      <c r="A15" s="519" t="s">
        <v>259</v>
      </c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206">
        <f>M13+M14</f>
        <v>0</v>
      </c>
    </row>
    <row r="16" spans="1:13" s="207" customFormat="1" ht="15" customHeight="1">
      <c r="A16" s="216" t="s">
        <v>260</v>
      </c>
      <c r="J16" s="216"/>
      <c r="K16" s="217"/>
      <c r="L16" s="217"/>
      <c r="M16" s="218" t="str">
        <f>IF(M13&lt;=0.5,"max 50%VERIFICATO","max 50 % NON VERIFICATO")</f>
        <v>max 50%VERIFICATO</v>
      </c>
    </row>
    <row r="17" spans="1:11" ht="23.25" customHeight="1">
      <c r="A17" s="203" t="s">
        <v>261</v>
      </c>
      <c r="B17" s="204"/>
      <c r="C17" s="204"/>
      <c r="D17" s="204"/>
      <c r="E17" s="204"/>
      <c r="F17" s="204"/>
      <c r="G17" s="204"/>
      <c r="K17" s="219"/>
    </row>
    <row r="18" spans="1:7" ht="15">
      <c r="A18" s="220" t="s">
        <v>235</v>
      </c>
      <c r="B18" s="288">
        <f>'COSTO valori OMI'!$D$3</f>
        <v>725.5625</v>
      </c>
      <c r="C18" s="221" t="s">
        <v>206</v>
      </c>
      <c r="E18" s="204"/>
      <c r="F18" s="204"/>
      <c r="G18" s="204"/>
    </row>
    <row r="19" spans="1:13" ht="21.75" customHeight="1">
      <c r="A19" s="508" t="s">
        <v>262</v>
      </c>
      <c r="B19" s="508"/>
      <c r="C19" s="508"/>
      <c r="D19" s="508"/>
      <c r="E19" s="508"/>
      <c r="F19" s="508"/>
      <c r="G19" s="508"/>
      <c r="H19" s="508"/>
      <c r="I19" s="508"/>
      <c r="J19" s="508"/>
      <c r="K19" s="508"/>
      <c r="L19" s="508"/>
      <c r="M19" s="508"/>
    </row>
    <row r="20" spans="1:7" ht="35.25" customHeight="1">
      <c r="A20" s="203" t="s">
        <v>263</v>
      </c>
      <c r="B20" s="204"/>
      <c r="C20" s="204"/>
      <c r="D20" s="204"/>
      <c r="E20" s="204"/>
      <c r="F20" s="204"/>
      <c r="G20" s="204"/>
    </row>
    <row r="21" spans="1:13" ht="25.5" customHeight="1">
      <c r="A21" s="222"/>
      <c r="B21" s="223" t="s">
        <v>264</v>
      </c>
      <c r="C21" s="224"/>
      <c r="D21" s="225"/>
      <c r="E21" s="225"/>
      <c r="F21" s="225"/>
      <c r="G21" s="226"/>
      <c r="H21" s="225"/>
      <c r="I21" s="225"/>
      <c r="J21" s="225"/>
      <c r="K21" s="225"/>
      <c r="L21" s="225"/>
      <c r="M21" s="227"/>
    </row>
    <row r="22" spans="1:13" ht="15" customHeight="1">
      <c r="A22" s="228" t="s">
        <v>0</v>
      </c>
      <c r="B22" s="229">
        <f>M23*H29*M15*(1-L31/100)</f>
        <v>0</v>
      </c>
      <c r="C22" s="230" t="s">
        <v>211</v>
      </c>
      <c r="L22" s="231" t="s">
        <v>265</v>
      </c>
      <c r="M22" s="232">
        <f>B18*F28/100</f>
        <v>43.53375</v>
      </c>
    </row>
    <row r="23" spans="1:13" s="204" customFormat="1" ht="18" customHeight="1">
      <c r="A23" s="233" t="s">
        <v>274</v>
      </c>
      <c r="I23" s="204" t="str">
        <f>IF(M22&gt;25,"&gt; 25€/mq, pertanto:","&lt; 25€/mq, pertanto:")</f>
        <v>&gt; 25€/mq, pertanto:</v>
      </c>
      <c r="L23" s="234" t="s">
        <v>265</v>
      </c>
      <c r="M23" s="235">
        <f>IF(M22&lt;25,"25",M22)</f>
        <v>43.53375</v>
      </c>
    </row>
    <row r="24" spans="1:13" ht="22.5" customHeight="1">
      <c r="A24" s="236" t="s">
        <v>209</v>
      </c>
      <c r="G24" s="204"/>
      <c r="M24" s="237"/>
    </row>
    <row r="25" spans="1:13" ht="15.75" customHeight="1">
      <c r="A25" s="238" t="s">
        <v>275</v>
      </c>
      <c r="M25" s="237"/>
    </row>
    <row r="26" spans="1:13" ht="15.75" customHeight="1">
      <c r="A26" s="238" t="s">
        <v>276</v>
      </c>
      <c r="G26" s="239"/>
      <c r="M26" s="237"/>
    </row>
    <row r="27" spans="1:13" ht="28.5" customHeight="1">
      <c r="A27" s="515" t="s">
        <v>266</v>
      </c>
      <c r="B27" s="515"/>
      <c r="C27" s="515"/>
      <c r="D27" s="515"/>
      <c r="E27" s="515"/>
      <c r="F27" s="515"/>
      <c r="G27" s="515"/>
      <c r="H27" s="515"/>
      <c r="I27" s="515"/>
      <c r="J27" s="515"/>
      <c r="K27" s="515"/>
      <c r="L27" s="515"/>
      <c r="M27" s="237"/>
    </row>
    <row r="28" spans="1:13" ht="19.5" customHeight="1">
      <c r="A28" s="240"/>
      <c r="B28" s="234" t="s">
        <v>216</v>
      </c>
      <c r="C28" s="291" t="s">
        <v>217</v>
      </c>
      <c r="E28" s="234" t="s">
        <v>218</v>
      </c>
      <c r="F28" s="241">
        <f>IF(C28="SI",20,IF(C28="NO",G44))</f>
        <v>6</v>
      </c>
      <c r="M28" s="237"/>
    </row>
    <row r="29" spans="1:13" ht="19.5" customHeight="1">
      <c r="A29" s="238" t="s">
        <v>241</v>
      </c>
      <c r="B29" s="242"/>
      <c r="C29" s="243" t="s">
        <v>267</v>
      </c>
      <c r="D29" s="289">
        <f>Superfici!$AU$44</f>
        <v>0</v>
      </c>
      <c r="E29" s="243" t="s">
        <v>268</v>
      </c>
      <c r="F29" s="289">
        <f>Superfici!$AV$44</f>
        <v>0</v>
      </c>
      <c r="G29" s="244" t="s">
        <v>269</v>
      </c>
      <c r="H29" s="245">
        <f>D29+0.6*F29</f>
        <v>0</v>
      </c>
      <c r="I29" s="241" t="s">
        <v>270</v>
      </c>
      <c r="M29" s="237"/>
    </row>
    <row r="30" spans="1:13" ht="15.75" customHeight="1">
      <c r="A30" s="238" t="s">
        <v>277</v>
      </c>
      <c r="M30" s="237"/>
    </row>
    <row r="31" spans="1:13" s="124" customFormat="1" ht="44.25" customHeight="1">
      <c r="A31" s="516" t="s">
        <v>278</v>
      </c>
      <c r="B31" s="516"/>
      <c r="C31" s="516"/>
      <c r="D31" s="516"/>
      <c r="E31" s="516"/>
      <c r="F31" s="516"/>
      <c r="G31" s="516"/>
      <c r="H31" s="516"/>
      <c r="I31" s="516"/>
      <c r="J31" s="516"/>
      <c r="K31" s="516"/>
      <c r="L31" s="290">
        <v>35</v>
      </c>
      <c r="M31" s="192" t="s">
        <v>219</v>
      </c>
    </row>
    <row r="32" ht="27.75" customHeight="1">
      <c r="A32" s="246" t="s">
        <v>271</v>
      </c>
    </row>
    <row r="33" spans="1:3" ht="37.5" customHeight="1">
      <c r="A33" s="247" t="s">
        <v>272</v>
      </c>
      <c r="B33" s="247" t="s">
        <v>219</v>
      </c>
      <c r="C33" s="247" t="s">
        <v>167</v>
      </c>
    </row>
    <row r="34" spans="1:3" ht="12.75">
      <c r="A34" s="247" t="s">
        <v>222</v>
      </c>
      <c r="B34" s="247">
        <v>5</v>
      </c>
      <c r="C34" s="247" t="str">
        <f>IF(B18&lt;=500,"1","0")</f>
        <v>0</v>
      </c>
    </row>
    <row r="35" spans="1:3" ht="12.75">
      <c r="A35" s="247" t="s">
        <v>223</v>
      </c>
      <c r="B35" s="247">
        <v>6</v>
      </c>
      <c r="C35" s="247" t="str">
        <f>IF(AND(B18&gt;500,B18&lt;=1000),"1","0")</f>
        <v>1</v>
      </c>
    </row>
    <row r="36" spans="1:3" ht="12.75">
      <c r="A36" s="247" t="s">
        <v>224</v>
      </c>
      <c r="B36" s="247">
        <v>7</v>
      </c>
      <c r="C36" s="247" t="str">
        <f>IF(AND(B18&gt;1000,B18&lt;=1500),"1","0")</f>
        <v>0</v>
      </c>
    </row>
    <row r="37" spans="1:3" ht="12.75">
      <c r="A37" s="247" t="s">
        <v>225</v>
      </c>
      <c r="B37" s="247">
        <v>8</v>
      </c>
      <c r="C37" s="247" t="str">
        <f>IF(AND(B18&gt;1500,B18&lt;=2000),"1","0")</f>
        <v>0</v>
      </c>
    </row>
    <row r="38" spans="1:3" ht="12.75">
      <c r="A38" s="247" t="s">
        <v>226</v>
      </c>
      <c r="B38" s="247">
        <v>9</v>
      </c>
      <c r="C38" s="247" t="str">
        <f>IF(AND(B18&gt;2000,B18&lt;=2500),"1","0")</f>
        <v>0</v>
      </c>
    </row>
    <row r="39" spans="1:3" ht="12.75">
      <c r="A39" s="247" t="s">
        <v>227</v>
      </c>
      <c r="B39" s="247">
        <v>10</v>
      </c>
      <c r="C39" s="247" t="str">
        <f>IF(AND(B18&gt;2500,B18&lt;=3000),"1","0")</f>
        <v>0</v>
      </c>
    </row>
    <row r="40" spans="1:3" ht="12.75">
      <c r="A40" s="247" t="s">
        <v>228</v>
      </c>
      <c r="B40" s="247">
        <v>11</v>
      </c>
      <c r="C40" s="247" t="str">
        <f>IF(AND(B18&gt;3000,B18&lt;=3500),"1","0")</f>
        <v>0</v>
      </c>
    </row>
    <row r="41" spans="1:3" ht="12.75">
      <c r="A41" s="247" t="s">
        <v>229</v>
      </c>
      <c r="B41" s="247">
        <v>12</v>
      </c>
      <c r="C41" s="247" t="str">
        <f>IF(AND(B18&gt;3500,B18&lt;=4000),"1","0")</f>
        <v>0</v>
      </c>
    </row>
    <row r="42" spans="1:3" ht="12.75">
      <c r="A42" s="247" t="s">
        <v>230</v>
      </c>
      <c r="B42" s="247">
        <v>13</v>
      </c>
      <c r="C42" s="247" t="str">
        <f>IF(AND(B18&gt;4000,B18&lt;=4500),"1","0")</f>
        <v>0</v>
      </c>
    </row>
    <row r="43" spans="1:3" ht="12.75">
      <c r="A43" s="247" t="s">
        <v>231</v>
      </c>
      <c r="B43" s="247">
        <v>14</v>
      </c>
      <c r="C43" s="247" t="str">
        <f>IF(B18&gt;4500,"1","0")</f>
        <v>0</v>
      </c>
    </row>
    <row r="44" spans="6:7" ht="10.5" customHeight="1" hidden="1">
      <c r="F44" s="208" t="s">
        <v>218</v>
      </c>
      <c r="G44" s="208">
        <f>B34*C34+B35*C35+B36*C36+B37*C37+B38*C38+B39*C39+B40*C40+B41*C41+B42*C42+B43*C43</f>
        <v>6</v>
      </c>
    </row>
    <row r="45" ht="32.25" customHeight="1"/>
  </sheetData>
  <sheetProtection sheet="1" selectLockedCells="1"/>
  <mergeCells count="21">
    <mergeCell ref="F7:F9"/>
    <mergeCell ref="L7:L9"/>
    <mergeCell ref="K7:K9"/>
    <mergeCell ref="A1:M1"/>
    <mergeCell ref="A4:B5"/>
    <mergeCell ref="C4:M4"/>
    <mergeCell ref="B7:B9"/>
    <mergeCell ref="C7:C9"/>
    <mergeCell ref="D7:D9"/>
    <mergeCell ref="E7:E9"/>
    <mergeCell ref="H7:H9"/>
    <mergeCell ref="A19:M19"/>
    <mergeCell ref="A27:L27"/>
    <mergeCell ref="A31:K31"/>
    <mergeCell ref="M7:M9"/>
    <mergeCell ref="K13:L13"/>
    <mergeCell ref="K14:L14"/>
    <mergeCell ref="A15:L15"/>
    <mergeCell ref="I7:I9"/>
    <mergeCell ref="J7:J9"/>
    <mergeCell ref="G7:G9"/>
  </mergeCells>
  <printOptions/>
  <pageMargins left="0.5402777777777777" right="0.4" top="0.7902777777777777" bottom="0.6701388888888888" header="0.5118055555555555" footer="0.5118055555555555"/>
  <pageSetup fitToHeight="0" fitToWidth="1" horizontalDpi="300" verticalDpi="3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M22"/>
  <sheetViews>
    <sheetView showGridLines="0" defaultGridColor="0" zoomScale="120" zoomScaleNormal="120" colorId="8" workbookViewId="0" topLeftCell="A1">
      <selection activeCell="I13" sqref="I13"/>
    </sheetView>
  </sheetViews>
  <sheetFormatPr defaultColWidth="9.140625" defaultRowHeight="12.75"/>
  <cols>
    <col min="1" max="1" width="21.421875" style="202" customWidth="1"/>
    <col min="2" max="2" width="13.8515625" style="202" customWidth="1"/>
    <col min="3" max="3" width="7.28125" style="202" customWidth="1"/>
    <col min="4" max="4" width="14.8515625" style="202" customWidth="1"/>
    <col min="5" max="5" width="11.28125" style="202" customWidth="1"/>
    <col min="6" max="6" width="10.8515625" style="202" customWidth="1"/>
    <col min="7" max="7" width="9.421875" style="202" customWidth="1"/>
    <col min="8" max="8" width="9.28125" style="202" customWidth="1"/>
    <col min="9" max="9" width="7.28125" style="202" customWidth="1"/>
    <col min="10" max="10" width="8.28125" style="202" customWidth="1"/>
    <col min="11" max="11" width="0" style="212" hidden="1" customWidth="1"/>
    <col min="12" max="16384" width="9.140625" style="202" customWidth="1"/>
  </cols>
  <sheetData>
    <row r="1" spans="1:10" ht="52.5" customHeight="1">
      <c r="A1" s="521" t="s">
        <v>286</v>
      </c>
      <c r="B1" s="521"/>
      <c r="C1" s="521"/>
      <c r="D1" s="521"/>
      <c r="E1" s="521"/>
      <c r="F1" s="521"/>
      <c r="G1" s="521"/>
      <c r="H1" s="521"/>
      <c r="I1" s="521"/>
      <c r="J1" s="521"/>
    </row>
    <row r="2" spans="1:9" ht="24.75" customHeight="1">
      <c r="A2" s="203" t="s">
        <v>279</v>
      </c>
      <c r="B2" s="204"/>
      <c r="C2" s="204"/>
      <c r="D2" s="204"/>
      <c r="E2" s="204"/>
      <c r="F2" s="204"/>
      <c r="I2" s="219"/>
    </row>
    <row r="3" spans="1:6" ht="15">
      <c r="A3" s="248" t="s">
        <v>235</v>
      </c>
      <c r="B3" s="288">
        <f>'COSTO valori OMI'!$D$3</f>
        <v>725.5625</v>
      </c>
      <c r="C3" s="221" t="s">
        <v>206</v>
      </c>
      <c r="E3" s="204"/>
      <c r="F3" s="204"/>
    </row>
    <row r="4" spans="1:8" ht="15">
      <c r="A4" s="249" t="s">
        <v>280</v>
      </c>
      <c r="C4" s="221"/>
      <c r="E4" s="204"/>
      <c r="F4" s="204"/>
      <c r="G4" s="288" t="s">
        <v>217</v>
      </c>
      <c r="H4" s="250">
        <f>IF(G4="SI",0.5,IF(G4="NO",1))</f>
        <v>1</v>
      </c>
    </row>
    <row r="5" spans="1:6" ht="9.75" customHeight="1">
      <c r="A5" s="205"/>
      <c r="B5" s="204"/>
      <c r="C5" s="204"/>
      <c r="D5" s="204"/>
      <c r="F5" s="204"/>
    </row>
    <row r="6" spans="1:10" ht="15">
      <c r="A6" s="251" t="s">
        <v>281</v>
      </c>
      <c r="B6" s="226"/>
      <c r="C6" s="226"/>
      <c r="D6" s="226"/>
      <c r="E6" s="226"/>
      <c r="F6" s="226"/>
      <c r="G6" s="225"/>
      <c r="H6" s="225"/>
      <c r="I6" s="225"/>
      <c r="J6" s="227"/>
    </row>
    <row r="7" spans="1:10" ht="19.5" customHeight="1">
      <c r="A7" s="252"/>
      <c r="B7" s="253"/>
      <c r="C7" s="254" t="s">
        <v>282</v>
      </c>
      <c r="D7" s="254">
        <f>B3*H11*I12/100*(1-I13/100)*H4</f>
        <v>0</v>
      </c>
      <c r="E7" s="255" t="s">
        <v>211</v>
      </c>
      <c r="J7" s="237"/>
    </row>
    <row r="8" spans="1:10" ht="25.5" customHeight="1">
      <c r="A8" s="524" t="s">
        <v>283</v>
      </c>
      <c r="B8" s="524"/>
      <c r="C8" s="524"/>
      <c r="D8" s="524"/>
      <c r="E8" s="524"/>
      <c r="F8" s="524"/>
      <c r="G8" s="524"/>
      <c r="H8" s="524"/>
      <c r="J8" s="237"/>
    </row>
    <row r="9" spans="1:10" ht="15.75" customHeight="1">
      <c r="A9" s="236" t="s">
        <v>209</v>
      </c>
      <c r="J9" s="237"/>
    </row>
    <row r="10" spans="1:10" ht="15.75" customHeight="1">
      <c r="A10" s="238" t="s">
        <v>275</v>
      </c>
      <c r="J10" s="237"/>
    </row>
    <row r="11" spans="1:10" ht="19.5" customHeight="1">
      <c r="A11" s="238" t="s">
        <v>287</v>
      </c>
      <c r="B11" s="242"/>
      <c r="C11" s="256" t="s">
        <v>267</v>
      </c>
      <c r="D11" s="294">
        <f>Superfici!$V$44+Superfici!$X$44+Superfici!$AA$44+Superfici!$AC$44</f>
        <v>0</v>
      </c>
      <c r="E11" s="256" t="s">
        <v>268</v>
      </c>
      <c r="F11" s="294">
        <f>Superfici!$W$44+Superfici!$Y$44+Superfici!$Z$44+Superfici!$AB$44</f>
        <v>0</v>
      </c>
      <c r="G11" s="257" t="s">
        <v>284</v>
      </c>
      <c r="H11" s="258">
        <f>D11+0.6*F11</f>
        <v>0</v>
      </c>
      <c r="J11" s="237"/>
    </row>
    <row r="12" spans="1:10" ht="15.75" customHeight="1">
      <c r="A12" s="259" t="s">
        <v>288</v>
      </c>
      <c r="H12" s="234" t="s">
        <v>285</v>
      </c>
      <c r="I12" s="288">
        <v>10</v>
      </c>
      <c r="J12" s="237"/>
    </row>
    <row r="13" spans="1:11" ht="51" customHeight="1">
      <c r="A13" s="516" t="s">
        <v>289</v>
      </c>
      <c r="B13" s="516"/>
      <c r="C13" s="516"/>
      <c r="D13" s="516"/>
      <c r="E13" s="516"/>
      <c r="F13" s="516"/>
      <c r="G13" s="516"/>
      <c r="H13" s="516"/>
      <c r="I13" s="290">
        <v>0</v>
      </c>
      <c r="J13" s="192" t="s">
        <v>219</v>
      </c>
      <c r="K13" s="202"/>
    </row>
    <row r="14" ht="12.75">
      <c r="K14" s="202"/>
    </row>
    <row r="15" spans="1:13" ht="12.75">
      <c r="A15" s="525"/>
      <c r="B15" s="52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</row>
    <row r="16" ht="12.75">
      <c r="K16" s="202"/>
    </row>
    <row r="22" ht="12.75">
      <c r="E22" s="260"/>
    </row>
    <row r="23" ht="10.5" customHeight="1"/>
    <row r="24" ht="32.25" customHeight="1"/>
  </sheetData>
  <sheetProtection sheet="1" selectLockedCells="1"/>
  <mergeCells count="4">
    <mergeCell ref="A1:J1"/>
    <mergeCell ref="A8:H8"/>
    <mergeCell ref="A13:H13"/>
    <mergeCell ref="A15:M15"/>
  </mergeCells>
  <printOptions/>
  <pageMargins left="0.5402777777777777" right="0.4" top="0.7902777777777777" bottom="0.6701388888888888" header="0.5118055555555555" footer="0.5118055555555555"/>
  <pageSetup fitToHeight="0" fitToWidth="1"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O32"/>
  <sheetViews>
    <sheetView showGridLines="0" defaultGridColor="0" zoomScale="120" zoomScaleNormal="120" colorId="8" workbookViewId="0" topLeftCell="A1">
      <selection activeCell="H45" sqref="H45"/>
    </sheetView>
  </sheetViews>
  <sheetFormatPr defaultColWidth="9.140625" defaultRowHeight="12.75"/>
  <cols>
    <col min="1" max="1" width="21.421875" style="202" customWidth="1"/>
    <col min="2" max="2" width="13.8515625" style="202" customWidth="1"/>
    <col min="3" max="3" width="7.57421875" style="202" customWidth="1"/>
    <col min="4" max="4" width="10.00390625" style="202" customWidth="1"/>
    <col min="5" max="12" width="7.28125" style="202" customWidth="1"/>
    <col min="13" max="13" width="8.57421875" style="202" customWidth="1"/>
    <col min="14" max="14" width="9.140625" style="202" customWidth="1"/>
    <col min="15" max="15" width="5.421875" style="212" customWidth="1"/>
    <col min="16" max="16384" width="9.140625" style="202" customWidth="1"/>
  </cols>
  <sheetData>
    <row r="1" spans="1:13" ht="42" customHeight="1">
      <c r="A1" s="521" t="s">
        <v>292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7" ht="23.25" customHeight="1">
      <c r="A2" s="203" t="s">
        <v>243</v>
      </c>
      <c r="B2" s="204"/>
      <c r="C2" s="204"/>
      <c r="D2" s="204"/>
      <c r="E2" s="204"/>
      <c r="F2" s="204"/>
      <c r="G2" s="204"/>
    </row>
    <row r="3" spans="1:7" ht="20.25" customHeight="1">
      <c r="A3" s="205" t="s">
        <v>244</v>
      </c>
      <c r="B3" s="204"/>
      <c r="C3" s="204"/>
      <c r="D3" s="204"/>
      <c r="E3" s="204"/>
      <c r="F3" s="204"/>
      <c r="G3" s="204"/>
    </row>
    <row r="4" spans="1:15" s="207" customFormat="1" ht="23.25" customHeight="1">
      <c r="A4" s="522" t="s">
        <v>245</v>
      </c>
      <c r="B4" s="522"/>
      <c r="C4" s="522" t="s">
        <v>246</v>
      </c>
      <c r="D4" s="522"/>
      <c r="E4" s="522"/>
      <c r="F4" s="522"/>
      <c r="G4" s="522"/>
      <c r="H4" s="522"/>
      <c r="I4" s="522"/>
      <c r="J4" s="522"/>
      <c r="K4" s="522"/>
      <c r="L4" s="522"/>
      <c r="M4" s="522"/>
      <c r="O4" s="212"/>
    </row>
    <row r="5" spans="1:15" s="207" customFormat="1" ht="24">
      <c r="A5" s="522"/>
      <c r="B5" s="522"/>
      <c r="C5" s="208">
        <v>10</v>
      </c>
      <c r="D5" s="208">
        <v>20</v>
      </c>
      <c r="E5" s="208">
        <v>30</v>
      </c>
      <c r="F5" s="208">
        <v>40</v>
      </c>
      <c r="G5" s="208">
        <v>50</v>
      </c>
      <c r="H5" s="208">
        <v>60</v>
      </c>
      <c r="I5" s="208">
        <v>70</v>
      </c>
      <c r="J5" s="208">
        <v>80</v>
      </c>
      <c r="K5" s="208">
        <v>90</v>
      </c>
      <c r="L5" s="208">
        <v>100</v>
      </c>
      <c r="M5" s="209" t="s">
        <v>247</v>
      </c>
      <c r="O5" s="212"/>
    </row>
    <row r="6" spans="1:15" s="212" customFormat="1" ht="17.25" customHeight="1">
      <c r="A6" s="210" t="s">
        <v>248</v>
      </c>
      <c r="B6" s="211">
        <v>0.05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09">
        <f>0.05*C6*0.1+0.05*D6*0.2+0.05*E6*0.3+0.05*F6*0.4+0.05*G6*0.5+0.05*H6*0.6+0.05*I6*0.7+0.05*J6*0.8+0.05*K6*0.9+0.05*L6</f>
        <v>0</v>
      </c>
      <c r="O6" s="261"/>
    </row>
    <row r="7" spans="1:15" s="207" customFormat="1" ht="17.25" customHeight="1">
      <c r="A7" s="210" t="s">
        <v>249</v>
      </c>
      <c r="B7" s="523">
        <v>0.2</v>
      </c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17">
        <f>0.2*C7*0.1+0.2*D7*0.2+0.2*E7*0.3+0.2*F7*0.4+0.2*G7*0.5+0.2*H7*0.6+0.2*I7*0.7+0.2*J7*0.8+0.2*K7*0.9+0.2*L7</f>
        <v>0</v>
      </c>
      <c r="O7" s="526"/>
    </row>
    <row r="8" spans="1:15" s="207" customFormat="1" ht="17.25" customHeight="1">
      <c r="A8" s="210" t="s">
        <v>250</v>
      </c>
      <c r="B8" s="523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17"/>
      <c r="O8" s="526"/>
    </row>
    <row r="9" spans="1:15" s="207" customFormat="1" ht="17.25" customHeight="1">
      <c r="A9" s="210" t="s">
        <v>251</v>
      </c>
      <c r="B9" s="523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17"/>
      <c r="O9" s="526"/>
    </row>
    <row r="10" spans="1:15" s="207" customFormat="1" ht="17.25" customHeight="1">
      <c r="A10" s="210" t="s">
        <v>252</v>
      </c>
      <c r="B10" s="211">
        <v>0.1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09">
        <f>0.1*C10*0.1+0.1*D10*0.2+0.1*E10*0.3+0.1*F10*0.4+0.1*G10*0.5+0.1*H10*0.6+0.1*I10*0.7+0.1*J10*0.8+0.1*K10*0.9+0.1*L10</f>
        <v>0</v>
      </c>
      <c r="O10" s="261"/>
    </row>
    <row r="11" spans="1:15" s="207" customFormat="1" ht="17.25" customHeight="1">
      <c r="A11" s="210" t="s">
        <v>253</v>
      </c>
      <c r="B11" s="211">
        <v>0.05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09">
        <f>0.05*C11*0.1+0.05*D11*0.2+0.05*E11*0.3+0.05*F11*0.4+0.05*G11*0.5+0.05*H11*0.6+0.05*I11*0.7+0.05*J11*0.8+0.05*K11*0.9+0.05*L11</f>
        <v>0</v>
      </c>
      <c r="O11" s="261"/>
    </row>
    <row r="12" spans="1:15" s="207" customFormat="1" ht="17.25" customHeight="1">
      <c r="A12" s="210" t="s">
        <v>254</v>
      </c>
      <c r="B12" s="211">
        <v>0.1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09">
        <f>0.1*C12*0.1+0.1*D12*0.2+0.1*E12*0.3+0.1*F12*0.4+0.1*G12*0.5+0.1*H12*0.6+0.1*I12*0.7+0.1*J12*0.8+0.1*K12*0.9+0.1*L12</f>
        <v>0</v>
      </c>
      <c r="O12" s="261"/>
    </row>
    <row r="13" spans="1:15" s="215" customFormat="1" ht="15" customHeight="1">
      <c r="A13" s="262" t="s">
        <v>255</v>
      </c>
      <c r="B13" s="263"/>
      <c r="C13" s="263"/>
      <c r="D13" s="263"/>
      <c r="E13" s="263"/>
      <c r="F13" s="263"/>
      <c r="G13" s="263"/>
      <c r="H13" s="263"/>
      <c r="I13" s="263"/>
      <c r="J13" s="263"/>
      <c r="K13" s="527" t="s">
        <v>256</v>
      </c>
      <c r="L13" s="527"/>
      <c r="M13" s="206">
        <f>SUM(M6:M12)</f>
        <v>0</v>
      </c>
      <c r="O13" s="264"/>
    </row>
    <row r="14" spans="1:15" s="215" customFormat="1" ht="15" customHeight="1">
      <c r="A14" s="262" t="s">
        <v>257</v>
      </c>
      <c r="B14" s="263"/>
      <c r="C14" s="263"/>
      <c r="D14" s="263"/>
      <c r="E14" s="263"/>
      <c r="F14" s="263"/>
      <c r="G14" s="263"/>
      <c r="H14" s="263"/>
      <c r="I14" s="263"/>
      <c r="J14" s="263"/>
      <c r="K14" s="527" t="s">
        <v>258</v>
      </c>
      <c r="L14" s="527"/>
      <c r="M14" s="206">
        <f>M13</f>
        <v>0</v>
      </c>
      <c r="O14" s="264"/>
    </row>
    <row r="15" spans="1:15" s="207" customFormat="1" ht="15" customHeight="1">
      <c r="A15" s="519" t="s">
        <v>259</v>
      </c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206">
        <f>M13+M14</f>
        <v>0</v>
      </c>
      <c r="O15" s="212"/>
    </row>
    <row r="16" spans="1:15" s="207" customFormat="1" ht="15" customHeight="1">
      <c r="A16" s="216" t="s">
        <v>260</v>
      </c>
      <c r="J16" s="216"/>
      <c r="K16" s="218"/>
      <c r="L16" s="218"/>
      <c r="M16" s="218" t="str">
        <f>IF(M13&lt;=0.5,"max 50%VERIFICATO","max 50 % NON VERIFICATO")</f>
        <v>max 50%VERIFICATO</v>
      </c>
      <c r="O16" s="212"/>
    </row>
    <row r="17" spans="1:11" ht="22.5" customHeight="1">
      <c r="A17" s="203" t="s">
        <v>261</v>
      </c>
      <c r="B17" s="204"/>
      <c r="C17" s="204"/>
      <c r="D17" s="204"/>
      <c r="E17" s="204"/>
      <c r="F17" s="204"/>
      <c r="G17" s="204"/>
      <c r="K17" s="219"/>
    </row>
    <row r="18" spans="1:7" ht="15">
      <c r="A18" s="220" t="s">
        <v>235</v>
      </c>
      <c r="B18" s="288">
        <f>'COSTO valori OMI'!$D$3</f>
        <v>725.5625</v>
      </c>
      <c r="C18" s="221" t="s">
        <v>206</v>
      </c>
      <c r="E18" s="204"/>
      <c r="F18" s="204"/>
      <c r="G18" s="204"/>
    </row>
    <row r="19" spans="1:7" ht="15" customHeight="1">
      <c r="A19" s="205"/>
      <c r="B19" s="204"/>
      <c r="C19" s="204"/>
      <c r="D19" s="204"/>
      <c r="F19" s="204"/>
      <c r="G19" s="204"/>
    </row>
    <row r="20" spans="1:13" ht="15">
      <c r="A20" s="251" t="s">
        <v>263</v>
      </c>
      <c r="B20" s="226"/>
      <c r="C20" s="226"/>
      <c r="D20" s="226"/>
      <c r="E20" s="226"/>
      <c r="F20" s="226"/>
      <c r="G20" s="226"/>
      <c r="H20" s="225"/>
      <c r="I20" s="225"/>
      <c r="J20" s="225"/>
      <c r="K20" s="225"/>
      <c r="L20" s="225"/>
      <c r="M20" s="227"/>
    </row>
    <row r="21" spans="1:13" ht="19.5" customHeight="1">
      <c r="A21" s="252"/>
      <c r="B21" s="230" t="s">
        <v>290</v>
      </c>
      <c r="C21" s="253"/>
      <c r="D21" s="253"/>
      <c r="G21" s="204"/>
      <c r="M21" s="237"/>
    </row>
    <row r="22" spans="1:13" ht="19.5" customHeight="1">
      <c r="A22" s="228" t="s">
        <v>0</v>
      </c>
      <c r="B22" s="254">
        <f>B18*H25*M15*0.5*K28/100*(1-K29/100)</f>
        <v>0</v>
      </c>
      <c r="C22" s="255" t="s">
        <v>211</v>
      </c>
      <c r="D22" s="253"/>
      <c r="E22" s="265"/>
      <c r="G22" s="204"/>
      <c r="M22" s="237"/>
    </row>
    <row r="23" spans="1:13" ht="10.5" customHeight="1">
      <c r="A23" s="236" t="s">
        <v>209</v>
      </c>
      <c r="G23" s="204"/>
      <c r="M23" s="237"/>
    </row>
    <row r="24" spans="1:13" ht="15.75" customHeight="1">
      <c r="A24" s="238" t="s">
        <v>275</v>
      </c>
      <c r="M24" s="237"/>
    </row>
    <row r="25" spans="1:15" s="268" customFormat="1" ht="19.5" customHeight="1">
      <c r="A25" s="238" t="s">
        <v>241</v>
      </c>
      <c r="B25" s="266"/>
      <c r="C25" s="243" t="s">
        <v>267</v>
      </c>
      <c r="D25" s="289">
        <f>Superfici!$AQ$44+Superfici!$AS$44+Superfici!$AW$44+Superfici!$AY$44</f>
        <v>0</v>
      </c>
      <c r="E25" s="243" t="s">
        <v>268</v>
      </c>
      <c r="F25" s="289">
        <f>Superfici!$AR$44+Superfici!$AT$44+Superfici!$AX$44+Superfici!$AZ$44</f>
        <v>0</v>
      </c>
      <c r="G25" s="267" t="s">
        <v>291</v>
      </c>
      <c r="H25" s="258">
        <f>D25+0.6*F25</f>
        <v>0</v>
      </c>
      <c r="J25" s="269"/>
      <c r="M25" s="270"/>
      <c r="O25" s="271"/>
    </row>
    <row r="26" spans="1:13" ht="15.75" customHeight="1">
      <c r="A26" s="238" t="s">
        <v>277</v>
      </c>
      <c r="M26" s="237"/>
    </row>
    <row r="27" spans="1:13" ht="15.75" customHeight="1">
      <c r="A27" s="238" t="s">
        <v>293</v>
      </c>
      <c r="M27" s="237"/>
    </row>
    <row r="28" spans="1:13" ht="15.75" customHeight="1">
      <c r="A28" s="259" t="s">
        <v>294</v>
      </c>
      <c r="J28" s="234" t="s">
        <v>285</v>
      </c>
      <c r="K28" s="288">
        <v>10</v>
      </c>
      <c r="M28" s="237"/>
    </row>
    <row r="29" spans="1:15" ht="48.75" customHeight="1">
      <c r="A29" s="516" t="s">
        <v>278</v>
      </c>
      <c r="B29" s="516"/>
      <c r="C29" s="516"/>
      <c r="D29" s="516"/>
      <c r="E29" s="516"/>
      <c r="F29" s="516"/>
      <c r="G29" s="516"/>
      <c r="H29" s="516"/>
      <c r="I29" s="516"/>
      <c r="J29" s="516"/>
      <c r="K29" s="290">
        <v>35</v>
      </c>
      <c r="L29" s="272" t="s">
        <v>219</v>
      </c>
      <c r="M29" s="273"/>
      <c r="O29" s="202"/>
    </row>
    <row r="30" ht="12.75">
      <c r="O30" s="202"/>
    </row>
    <row r="31" spans="1:15" ht="12.75">
      <c r="A31" s="525"/>
      <c r="B31" s="525"/>
      <c r="C31" s="525"/>
      <c r="D31" s="525"/>
      <c r="E31" s="525"/>
      <c r="F31" s="525"/>
      <c r="G31" s="525"/>
      <c r="O31" s="202"/>
    </row>
    <row r="32" ht="12.75">
      <c r="O32" s="202"/>
    </row>
    <row r="40" ht="10.5" customHeight="1"/>
    <row r="41" ht="32.25" customHeight="1"/>
  </sheetData>
  <sheetProtection selectLockedCells="1"/>
  <mergeCells count="21">
    <mergeCell ref="A1:M1"/>
    <mergeCell ref="A4:B5"/>
    <mergeCell ref="C4:M4"/>
    <mergeCell ref="B7:B9"/>
    <mergeCell ref="C7:C9"/>
    <mergeCell ref="D7:D9"/>
    <mergeCell ref="E7:E9"/>
    <mergeCell ref="F7:F9"/>
    <mergeCell ref="G7:G9"/>
    <mergeCell ref="H7:H9"/>
    <mergeCell ref="O7:O9"/>
    <mergeCell ref="K13:L13"/>
    <mergeCell ref="K14:L14"/>
    <mergeCell ref="I7:I9"/>
    <mergeCell ref="J7:J9"/>
    <mergeCell ref="K7:K9"/>
    <mergeCell ref="L7:L9"/>
    <mergeCell ref="A15:L15"/>
    <mergeCell ref="A29:J29"/>
    <mergeCell ref="A31:G31"/>
    <mergeCell ref="M7:M9"/>
  </mergeCells>
  <printOptions/>
  <pageMargins left="0.5402777777777777" right="0.4" top="0.7902777777777777" bottom="0.6701388888888888" header="0.5118055555555555" footer="0.5118055555555555"/>
  <pageSetup fitToHeight="0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Carpi</dc:creator>
  <cp:keywords/>
  <dc:description/>
  <cp:lastModifiedBy>meranino</cp:lastModifiedBy>
  <cp:lastPrinted>2024-01-24T16:36:17Z</cp:lastPrinted>
  <dcterms:created xsi:type="dcterms:W3CDTF">2003-03-04T07:52:57Z</dcterms:created>
  <dcterms:modified xsi:type="dcterms:W3CDTF">2024-01-24T16:37:13Z</dcterms:modified>
  <cp:category/>
  <cp:version/>
  <cp:contentType/>
  <cp:contentStatus/>
</cp:coreProperties>
</file>