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70" yWindow="30" windowWidth="16095" windowHeight="13365" tabRatio="816" activeTab="3"/>
  </bookViews>
  <sheets>
    <sheet name="Superfici" sheetId="1" r:id="rId1"/>
    <sheet name="DISTINTA ONERI" sheetId="2" r:id="rId2"/>
    <sheet name="rate" sheetId="3" r:id="rId3"/>
    <sheet name="COSTO" sheetId="4" r:id="rId4"/>
    <sheet name="Nuova costruzione" sheetId="5" r:id="rId5"/>
    <sheet name="Residenziale esistente" sheetId="6" r:id="rId6"/>
    <sheet name="Direzionali esistenti" sheetId="7" r:id="rId7"/>
    <sheet name="Commerciali esistenti" sheetId="8" r:id="rId8"/>
    <sheet name="Turistiche esistenti" sheetId="9" r:id="rId9"/>
    <sheet name="VOLUME" sheetId="10" r:id="rId10"/>
    <sheet name="LOTTO" sheetId="11" r:id="rId11"/>
    <sheet name="costo produzione" sheetId="12" r:id="rId12"/>
    <sheet name="indici" sheetId="13" r:id="rId13"/>
    <sheet name="Costo base" sheetId="14" r:id="rId14"/>
    <sheet name="muratura" sheetId="15" r:id="rId15"/>
    <sheet name="Indici stessa base 2015" sheetId="16" r:id="rId16"/>
  </sheets>
  <definedNames>
    <definedName name="TIPIEDIFICIO">'COSTO'!$A$11:$A$22</definedName>
  </definedNames>
  <calcPr fullCalcOnLoad="1"/>
</workbook>
</file>

<file path=xl/comments1.xml><?xml version="1.0" encoding="utf-8"?>
<comments xmlns="http://schemas.openxmlformats.org/spreadsheetml/2006/main">
  <authors>
    <author>meranino</author>
  </authors>
  <commentList>
    <comment ref="M3" authorId="0">
      <text>
        <r>
          <rPr>
            <sz val="8"/>
            <rFont val="Tahoma"/>
            <family val="2"/>
          </rPr>
          <t>Da compilare per calcolo oneri destinazioni produttive ed agricole</t>
        </r>
      </text>
    </comment>
  </commentList>
</comments>
</file>

<file path=xl/comments12.xml><?xml version="1.0" encoding="utf-8"?>
<comments xmlns="http://schemas.openxmlformats.org/spreadsheetml/2006/main">
  <authors>
    <author>meranino</author>
  </authors>
  <commentList>
    <comment ref="C25" authorId="0">
      <text>
        <r>
          <rPr>
            <b/>
            <sz val="11"/>
            <rFont val="Tahoma"/>
            <family val="0"/>
          </rPr>
          <t xml:space="preserve">classe:
A1 = 2
A2 = 1,25
A3 = 1,05
A4 = 0,80
A5 = 0,50
A6 =0,70
A7 = 1,40
A11 = 0,80
</t>
        </r>
        <r>
          <rPr>
            <sz val="11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11"/>
            <rFont val="Tahoma"/>
            <family val="0"/>
          </rPr>
          <t>Carpi (&gt; 50.000) = 0,95</t>
        </r>
      </text>
    </comment>
    <comment ref="E25" authorId="0">
      <text>
        <r>
          <rPr>
            <b/>
            <sz val="11"/>
            <rFont val="Tahoma"/>
            <family val="0"/>
          </rPr>
          <t xml:space="preserve">agricola = 0,85
periferia= 1
tra perif. e c.s.= 1,20
c. storico = 1,30
</t>
        </r>
        <r>
          <rPr>
            <sz val="11"/>
            <rFont val="Tahoma"/>
            <family val="0"/>
          </rPr>
          <t xml:space="preserve">
</t>
        </r>
      </text>
    </comment>
    <comment ref="F25" authorId="0">
      <text>
        <r>
          <rPr>
            <b/>
            <sz val="11"/>
            <rFont val="Tahoma"/>
            <family val="0"/>
          </rPr>
          <t>seminterrato = 0,80
terreno = 0,90
intermedio e ultimo = 1
attico = 1,20</t>
        </r>
        <r>
          <rPr>
            <sz val="11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1"/>
            <rFont val="Tahoma"/>
            <family val="0"/>
          </rPr>
          <t>normale = 1
mediocre = 0,80
scadente = 0,60</t>
        </r>
        <r>
          <rPr>
            <sz val="11"/>
            <rFont val="Tahoma"/>
            <family val="0"/>
          </rPr>
          <t xml:space="preserve">
</t>
        </r>
      </text>
    </comment>
    <comment ref="G25" authorId="0">
      <text>
        <r>
          <rPr>
            <sz val="8"/>
            <rFont val="Tahoma"/>
            <family val="2"/>
          </rPr>
          <t xml:space="preserve">ANNI E COEFFICIENTI:
 6 = 0,99;  7 = 0,98;  8 = 0,97
 9 = 0,96; 10 = 0,95; 11 = 0,94
12 = 0,93; 13 = 0,92; 14 = 0,91
15 = 0,90; 16 = 0,89; 17 = 0,88
18 = 0,87; 19 = 0,86; 20 = 0,85
21 = 0,845; 22 = 0,84; 23 = 0,835
24 = 0,83; 25 = 0,825; 26 = 0,82
27 = 0,815; 28 = 0,81; 29 = 0,805
30 = 0,8; 31 = 0,795; 32 = 0,79
33 = 0,785; 34 = 0,78; 35 = 0,775
36 = 0,77; 37 = 0,765; 38 = 0,76
39 = 0,755; 40 = 0,75; 41 = 0,745
42 = 0,74; 43 = 0,735; 44 = 0,73
45 = 0,725; 46 = 0,72; 47 = 0,715
48 = 0,71; 49 = 0,705
50 E OLTRE = 0,7
</t>
        </r>
        <r>
          <rPr>
            <sz val="11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11"/>
            <rFont val="Tahoma"/>
            <family val="0"/>
          </rPr>
          <t>1 = prima del 30/01/1977
2 = dopo il 30/01/1977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Comune di Carpi</author>
  </authors>
  <commentList>
    <comment ref="I53" authorId="0">
      <text>
        <r>
          <rPr>
            <b/>
            <sz val="8"/>
            <rFont val="Tahoma"/>
            <family val="2"/>
          </rPr>
          <t>INSERIRE ELENCO A SCALARE
K2 = coefficiente di inquinamento connesso alla dimensione dell'azienda (DCC 1029 del 29/11/1990)</t>
        </r>
        <r>
          <rPr>
            <sz val="8"/>
            <rFont val="Tahoma"/>
            <family val="2"/>
          </rPr>
          <t xml:space="preserve">
1,0 = superficie inferiore a mq. 1000
1,2 = superficie tra mq. 1000 e 2000
1,4 = superficie tra 2000 e 3000
1,6 = superficie tra 3000 e 4000
1,8 = superficie tra 4000 e 5000
2,0 = superficie superiore a 5000</t>
        </r>
      </text>
    </comment>
    <comment ref="G61" authorId="0">
      <text>
        <r>
          <rPr>
            <b/>
            <sz val="8"/>
            <rFont val="Tahoma"/>
            <family val="2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2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2"/>
          </rPr>
          <t>INSERIRE ELENCO A SCALARE
K1 = coefficiente di inquinamento connesso al tipo di attività (DCC 1029 del 29/11/1990):</t>
        </r>
        <r>
          <rPr>
            <sz val="8"/>
            <rFont val="Tahoma"/>
            <family val="2"/>
          </rPr>
          <t xml:space="preserve">
0,8 = attività industriali in zone specifiche 
0,8 = attività agricole
0,8 = artigianale di servizio all'industria
1,0 = attività del settore tessile abbigliamento
1,2 = attività settore metalmeccanico
1,5 = lavoraz. materie plastiche, tintorie, serigrafie, tipografie
2,0 =industria zootecnica, casearia e per il trattamentograssi animali e vegetali </t>
        </r>
      </text>
    </comment>
    <comment ref="G53" authorId="0">
      <text>
        <r>
          <rPr>
            <b/>
            <sz val="8"/>
            <rFont val="Tahoma"/>
            <family val="2"/>
          </rPr>
          <t>INSERIRE ELENCO A SCALARE
K1 = coefficiente di inquinamento connesso al tipo di attività (DCC 1029 del 29/11/1990):</t>
        </r>
        <r>
          <rPr>
            <sz val="8"/>
            <rFont val="Tahoma"/>
            <family val="2"/>
          </rPr>
          <t xml:space="preserve">
0,8 = attività industriali in zone specifiche 
0,8 = attività agricole
0,8 = artigianale di servizio all'industria
1,0 = attività del settore tessile abbigliamento
1,2 = attività settore metalmeccanico
1,5 = lavoraz. materie plastiche, tintorie, serigrafie, tipografie
2,0 =industria zootecnica, casearia e per il trattamentograssi animali e vegetali </t>
        </r>
      </text>
    </comment>
    <comment ref="G55" authorId="0">
      <text>
        <r>
          <rPr>
            <b/>
            <sz val="8"/>
            <rFont val="Tahoma"/>
            <family val="2"/>
          </rPr>
          <t>INSERIRE ELENCO A SCALARE
K1 = coefficiente di inquinamento connesso al tipo di attività (DCC 1029 del 29/11/1990):</t>
        </r>
        <r>
          <rPr>
            <sz val="8"/>
            <rFont val="Tahoma"/>
            <family val="2"/>
          </rPr>
          <t xml:space="preserve">
0,8 = attività industriali in zone specifiche 
0,8 = attività agricole
0,8 = artigianale di servizio all'industria
1,0 = attività del settore tessile abbigliamento
1,2 = attività settore metalmeccanico
1,5 = lavoraz. materie plastiche, tintorie, serigrafie, tipografie
2,0 =industria zootecnica, casearia e per il trattamentograssi animali e vegetali </t>
        </r>
      </text>
    </comment>
    <comment ref="I54" authorId="0">
      <text>
        <r>
          <rPr>
            <b/>
            <sz val="8"/>
            <rFont val="Tahoma"/>
            <family val="2"/>
          </rPr>
          <t>INSERIRE ELENCO A SCALARE
K2 = coefficiente di inquinamento connesso alla dimensione dell'azienda (DCC 1029 del 29/11/1990)</t>
        </r>
        <r>
          <rPr>
            <sz val="8"/>
            <rFont val="Tahoma"/>
            <family val="2"/>
          </rPr>
          <t xml:space="preserve">
1,0 = superficie inferiore a mq. 1000
1,2 = superficie tra mq. 1000 e 2000
1,4 = superficie tra 2000 e 3000
1,6 = superficie tra 3000 e 4000
1,8 = superficie tra 4000 e 5000
2,0 = superficie superiore a 5000</t>
        </r>
      </text>
    </comment>
    <comment ref="I55" authorId="0">
      <text>
        <r>
          <rPr>
            <b/>
            <sz val="8"/>
            <rFont val="Tahoma"/>
            <family val="2"/>
          </rPr>
          <t>INSERIRE ELENCO A SCALARE
K2 = coefficiente di inquinamento connesso alla dimensione dell'azienda (DCC 1029 del 29/11/1990)</t>
        </r>
        <r>
          <rPr>
            <sz val="8"/>
            <rFont val="Tahoma"/>
            <family val="2"/>
          </rPr>
          <t xml:space="preserve">
1,0 = superficie inferiore a mq. 1000
1,2 = superficie tra mq. 1000 e 2000
1,4 = superficie tra 2000 e 3000
1,6 = superficie tra 3000 e 4000
1,8 = superficie tra 4000 e 5000
2,0 = superficie superiore a 5000</t>
        </r>
      </text>
    </comment>
    <comment ref="G62" authorId="0">
      <text>
        <r>
          <rPr>
            <b/>
            <sz val="8"/>
            <rFont val="Tahoma"/>
            <family val="2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>inserisci i mq. di parcheggio da monetizzare in base alla zona, considerando il numero dei posti auto che dovevano essere ricavati (multipli di mq. 25)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7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8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9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sharedStrings.xml><?xml version="1.0" encoding="utf-8"?>
<sst xmlns="http://schemas.openxmlformats.org/spreadsheetml/2006/main" count="883" uniqueCount="453">
  <si>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COMMERCIALI</t>
    </r>
    <r>
      <rPr>
        <b/>
        <i/>
        <sz val="14"/>
        <rFont val="Arial"/>
        <family val="2"/>
      </rPr>
      <t xml:space="preserve"> ESISTENTI</t>
    </r>
  </si>
  <si>
    <t>Incidenza delle singole categorie di lavori da eseguire</t>
  </si>
  <si>
    <t>Stima della incidenza dei lavori</t>
  </si>
  <si>
    <t>Incidenza</t>
  </si>
  <si>
    <t>Fondazioni</t>
  </si>
  <si>
    <t>Travi-Pilastri Tamponamenti Muri portanti</t>
  </si>
  <si>
    <t>Solai, Balconi</t>
  </si>
  <si>
    <t>Tramezzi interni</t>
  </si>
  <si>
    <t>Coperture</t>
  </si>
  <si>
    <r>
      <t xml:space="preserve">Incidenza delle opere strutturali    </t>
    </r>
    <r>
      <rPr>
        <b/>
        <sz val="8"/>
        <rFont val="Arial"/>
        <family val="2"/>
      </rPr>
      <t xml:space="preserve">                                                 ( i1 )</t>
    </r>
  </si>
  <si>
    <r>
      <t xml:space="preserve">Incidenza delle opere di finitura      </t>
    </r>
    <r>
      <rPr>
        <b/>
        <i/>
        <sz val="8"/>
        <rFont val="Arial"/>
        <family val="2"/>
      </rPr>
      <t>( convenzionalmente: i2 = i1 )</t>
    </r>
  </si>
  <si>
    <r>
      <t xml:space="preserve">Incidenza totale dei lavori da eseguire                            </t>
    </r>
    <r>
      <rPr>
        <b/>
        <i/>
        <sz val="8"/>
        <rFont val="Arial"/>
        <family val="2"/>
      </rPr>
      <t>( i = i1+i2 )</t>
    </r>
  </si>
  <si>
    <t>Superficie Totale (St)</t>
  </si>
  <si>
    <t>=</t>
  </si>
  <si>
    <t>mq</t>
  </si>
  <si>
    <t>Aliquota da applicare (q)</t>
  </si>
  <si>
    <t>Calcolo del contributo di concessione relativo al costo di costruzione</t>
  </si>
  <si>
    <t>costo base</t>
  </si>
  <si>
    <t>Sc</t>
  </si>
  <si>
    <t>q</t>
  </si>
  <si>
    <t>i</t>
  </si>
  <si>
    <t>Contributo</t>
  </si>
  <si>
    <t>Cc            =</t>
  </si>
  <si>
    <t>x</t>
  </si>
  <si>
    <t>Lire</t>
  </si>
  <si>
    <t>data: _______________</t>
  </si>
  <si>
    <t>Il Progettista</t>
  </si>
  <si>
    <t>Timbro e firma</t>
  </si>
  <si>
    <t>euro</t>
  </si>
  <si>
    <t>riduzione</t>
  </si>
  <si>
    <t>coeff.</t>
  </si>
  <si>
    <r>
      <t>TABELLA 1</t>
    </r>
    <r>
      <rPr>
        <sz val="10"/>
        <rFont val="Arial"/>
        <family val="0"/>
      </rPr>
      <t xml:space="preserve"> - INCREMENTO PER SUPERFICIE UTILE ABITABILE - </t>
    </r>
    <r>
      <rPr>
        <b/>
        <sz val="10"/>
        <rFont val="Arial"/>
        <family val="2"/>
      </rPr>
      <t>i1</t>
    </r>
  </si>
  <si>
    <t>Classi di superfici</t>
  </si>
  <si>
    <t>Alloggi n.</t>
  </si>
  <si>
    <t>Superficie utile abitabile (mq)</t>
  </si>
  <si>
    <t>Rapporto rispetto al totale di Su</t>
  </si>
  <si>
    <t>% di incremento (art. 5 - DM 10/5/77 n. 801)</t>
  </si>
  <si>
    <t>% di incremento per classi di superfici</t>
  </si>
  <si>
    <r>
      <t>&lt;</t>
    </r>
    <r>
      <rPr>
        <sz val="10"/>
        <rFont val="Arial"/>
        <family val="0"/>
      </rPr>
      <t xml:space="preserve"> 95</t>
    </r>
  </si>
  <si>
    <r>
      <t xml:space="preserve">&gt; 95 -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110</t>
    </r>
  </si>
  <si>
    <r>
      <t xml:space="preserve">&gt;110 -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130</t>
    </r>
  </si>
  <si>
    <r>
      <t xml:space="preserve">&gt;130 -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160</t>
    </r>
  </si>
  <si>
    <t>&gt; 160</t>
  </si>
  <si>
    <t>Totale Su=</t>
  </si>
  <si>
    <r>
      <t xml:space="preserve">Somma  </t>
    </r>
    <r>
      <rPr>
        <b/>
        <sz val="10"/>
        <rFont val="Arial"/>
        <family val="2"/>
      </rPr>
      <t>i1</t>
    </r>
    <r>
      <rPr>
        <sz val="10"/>
        <rFont val="Arial"/>
        <family val="0"/>
      </rPr>
      <t xml:space="preserve"> =  </t>
    </r>
  </si>
  <si>
    <r>
      <t>TABELLA 2</t>
    </r>
    <r>
      <rPr>
        <sz val="10"/>
        <rFont val="Arial"/>
        <family val="0"/>
      </rPr>
      <t xml:space="preserve"> - INCREMENTO PER SERVIZI E ACCESSORI RELATIVI ALLA RESIDENZA - </t>
    </r>
    <r>
      <rPr>
        <b/>
        <sz val="10"/>
        <rFont val="Arial"/>
        <family val="2"/>
      </rPr>
      <t>i2</t>
    </r>
  </si>
  <si>
    <t>Tot. Su =</t>
  </si>
  <si>
    <t>Intervalli di variabilità del rapporto percentuale %</t>
  </si>
  <si>
    <t>Ipotesi che ricorre</t>
  </si>
  <si>
    <t>% di incremento (art. 6 - DM 10/5/77, n.801)</t>
  </si>
  <si>
    <t>Tot. Snr =</t>
  </si>
  <si>
    <t>Snr/Su x100 =</t>
  </si>
  <si>
    <r>
      <t>&lt;</t>
    </r>
    <r>
      <rPr>
        <sz val="10"/>
        <rFont val="Arial"/>
        <family val="0"/>
      </rPr>
      <t xml:space="preserve"> 50</t>
    </r>
  </si>
  <si>
    <r>
      <t xml:space="preserve">&gt; 50 -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75</t>
    </r>
  </si>
  <si>
    <r>
      <t xml:space="preserve">&gt;75 -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100</t>
    </r>
  </si>
  <si>
    <t>&gt; 100</t>
  </si>
  <si>
    <r>
      <t xml:space="preserve">Somma  </t>
    </r>
    <r>
      <rPr>
        <b/>
        <sz val="10"/>
        <rFont val="Arial"/>
        <family val="2"/>
      </rPr>
      <t>i2</t>
    </r>
    <r>
      <rPr>
        <sz val="10"/>
        <rFont val="Arial"/>
        <family val="0"/>
      </rPr>
      <t xml:space="preserve"> =  </t>
    </r>
  </si>
  <si>
    <t>i1 + i2 =i</t>
  </si>
  <si>
    <r>
      <t xml:space="preserve">Maggiorazione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() (art.8 - DM 10/05/77, n.801)</t>
    </r>
  </si>
  <si>
    <t>Superficie Utile Abitabile  =</t>
  </si>
  <si>
    <t>Superficie non residenziale  =</t>
  </si>
  <si>
    <t>Superficie Complessiva (Sc)  =</t>
  </si>
  <si>
    <t>Costo di costruzione maggiorato  €uro =</t>
  </si>
  <si>
    <t>Costo base x (1 + M/100)</t>
  </si>
  <si>
    <t>Aliquota da applicare (q)  =</t>
  </si>
  <si>
    <t>ATTIVITA' TURISTICHE, COMMERCIALI E DIREZIONALI</t>
  </si>
  <si>
    <t>Superficie Totale TURISTICHE =</t>
  </si>
  <si>
    <t>Superficie Totale DIREZIONALI =</t>
  </si>
  <si>
    <t>Superficie Totale COMMERCIALI =</t>
  </si>
  <si>
    <t>costo unitario</t>
  </si>
  <si>
    <r>
      <t xml:space="preserve">Cc </t>
    </r>
    <r>
      <rPr>
        <b/>
        <i/>
        <sz val="8"/>
        <rFont val="Arial"/>
        <family val="2"/>
      </rPr>
      <t xml:space="preserve">Residenziale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</si>
  <si>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Turistico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</si>
  <si>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Direzionale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</si>
  <si>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Commerciale </t>
    </r>
    <r>
      <rPr>
        <b/>
        <i/>
        <sz val="12"/>
        <rFont val="Arial"/>
        <family val="2"/>
      </rPr>
      <t>=</t>
    </r>
  </si>
  <si>
    <t>Contributo totale intervento     =</t>
  </si>
  <si>
    <t>data: ________________</t>
  </si>
  <si>
    <r>
      <t xml:space="preserve">CALCOLO DEL CONTRIBUTO RELATIVO AL COSTO DI COSTRUZIONE PER INTERVENTI SU EDIFICI </t>
    </r>
    <r>
      <rPr>
        <b/>
        <i/>
        <u val="single"/>
        <sz val="14"/>
        <rFont val="Arial"/>
        <family val="2"/>
      </rPr>
      <t>RESIDENZIALI</t>
    </r>
    <r>
      <rPr>
        <b/>
        <i/>
        <sz val="14"/>
        <rFont val="Arial"/>
        <family val="2"/>
      </rPr>
      <t xml:space="preserve"> ESISTENTI</t>
    </r>
  </si>
  <si>
    <t>Superficie Complessiva (Sc)</t>
  </si>
  <si>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TURISTICHE</t>
    </r>
    <r>
      <rPr>
        <b/>
        <i/>
        <sz val="14"/>
        <rFont val="Arial"/>
        <family val="2"/>
      </rPr>
      <t xml:space="preserve"> ESISTENTI</t>
    </r>
  </si>
  <si>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DIREZIONALI</t>
    </r>
    <r>
      <rPr>
        <b/>
        <i/>
        <sz val="14"/>
        <rFont val="Arial"/>
        <family val="2"/>
      </rPr>
      <t xml:space="preserve"> ESISTENTI</t>
    </r>
  </si>
  <si>
    <t>interventi sull'esistente</t>
  </si>
  <si>
    <t>DIREZIONALE</t>
  </si>
  <si>
    <t>COMMERCIALE</t>
  </si>
  <si>
    <t>TURISTICHE</t>
  </si>
  <si>
    <t>costo base ridotto</t>
  </si>
  <si>
    <t>(vedi delibera di Consiglio Comunale n. 22 del 31/01/2003)</t>
  </si>
  <si>
    <t>mq.</t>
  </si>
  <si>
    <t>(superficie complessiva oggetto d'intervento: Su+60%Snr)</t>
  </si>
  <si>
    <t>costo base residenziale</t>
  </si>
  <si>
    <r>
      <t xml:space="preserve">Superficie Totale per attività Turistiche Commerciali e Direzionali, espressa in mq                 </t>
    </r>
    <r>
      <rPr>
        <b/>
        <sz val="8"/>
        <rFont val="Arial"/>
        <family val="2"/>
      </rPr>
      <t>St = Sn+60%Sa</t>
    </r>
  </si>
  <si>
    <t>Sc = Su + 60%Snr ai sensi degli artt. 2, 3 e 9 del D.M. 801/77</t>
  </si>
  <si>
    <t>Destinazione</t>
  </si>
  <si>
    <t>Tipologia</t>
  </si>
  <si>
    <t>Tariffa</t>
  </si>
  <si>
    <t>Metri Quadrati</t>
  </si>
  <si>
    <t>perc. (%)</t>
  </si>
  <si>
    <t>IMPORTO</t>
  </si>
  <si>
    <t>URBANIZZAZIONE PRIMARIA</t>
  </si>
  <si>
    <t>A2 RESIDENZIALE</t>
  </si>
  <si>
    <t>NC</t>
  </si>
  <si>
    <t>Re con cu</t>
  </si>
  <si>
    <t>Re senza cu</t>
  </si>
  <si>
    <t>B2 DIREZIONALE</t>
  </si>
  <si>
    <t>B2 ARTIGIANATO DI SERVIZIO</t>
  </si>
  <si>
    <t>E2 ALBERGHIERO</t>
  </si>
  <si>
    <t>URBANIZZAZIONE SECONDARIA</t>
  </si>
  <si>
    <t>Costo dell'intervento</t>
  </si>
  <si>
    <t>COSTO DI COSTRUZIONE</t>
  </si>
  <si>
    <t>RESIDENZIALE</t>
  </si>
  <si>
    <t>Re</t>
  </si>
  <si>
    <t>ALBERGHIERO</t>
  </si>
  <si>
    <t>K1</t>
  </si>
  <si>
    <t>K2</t>
  </si>
  <si>
    <t>ONERE "D"</t>
  </si>
  <si>
    <t>PRODUTTIVO</t>
  </si>
  <si>
    <t>ARTIG. SERVIZ.</t>
  </si>
  <si>
    <t>AGRICOLO</t>
  </si>
  <si>
    <t>Oblazione</t>
  </si>
  <si>
    <t>unità immobiliari</t>
  </si>
  <si>
    <t>N.</t>
  </si>
  <si>
    <t>TOTALE COMPLESSIVO EURO</t>
  </si>
  <si>
    <t>lire</t>
  </si>
  <si>
    <t xml:space="preserve">Legenda: </t>
  </si>
  <si>
    <t>NC = Nuova costruzione</t>
  </si>
  <si>
    <t>Re con cu = Ristrutturazione con aumento di carico urbanistico</t>
  </si>
  <si>
    <t>Re senza cu = Ristrutturazione senza aumento di carico urbanistico</t>
  </si>
  <si>
    <t>PIANO</t>
  </si>
  <si>
    <t>quota</t>
  </si>
  <si>
    <t>CLASSE</t>
  </si>
  <si>
    <t>MAGGIORAZIONE DEI COSTI BASE</t>
  </si>
  <si>
    <t>di pregio, unifamiliari, esterni al centro</t>
  </si>
  <si>
    <t>quota %</t>
  </si>
  <si>
    <t>di pregio, unifamiliari, interni al centro</t>
  </si>
  <si>
    <t>di pregio, bifam. /schiera, esterni al centro</t>
  </si>
  <si>
    <t>di pregio, bifam. /schiera, interni al centro</t>
  </si>
  <si>
    <t>di pregio, plurifamiliari, esterni al centro</t>
  </si>
  <si>
    <t>di pregio, plurifamiliari, interni al centro</t>
  </si>
  <si>
    <t>altri, unifamiliari, esterni al centro</t>
  </si>
  <si>
    <t>EDIFICI RESIDENZIALI</t>
  </si>
  <si>
    <t>altri, unifamiliari, interni al centro</t>
  </si>
  <si>
    <t>altri, bifam. /schiera, esterni al centro</t>
  </si>
  <si>
    <t>altri, bifam. /schiera, interni al centro</t>
  </si>
  <si>
    <t>altri, plurifamiliari, esterni al centro</t>
  </si>
  <si>
    <t>altri, plurifamiliari, interni al centro</t>
  </si>
  <si>
    <t>MONETIZZAZIONE PARCHEGGI DI URBANIZZAZIONE "P2"</t>
  </si>
  <si>
    <t>centro</t>
  </si>
  <si>
    <t>periferia</t>
  </si>
  <si>
    <t>frazioni</t>
  </si>
  <si>
    <t>P2</t>
  </si>
  <si>
    <t>monetizzazione parcheggi di U1</t>
  </si>
  <si>
    <t>PROSPETTO PER IL CALCOLO DEL VOLUME E DELLA SUPERFICIE COPERTA                                 (pregresso piano 1984)</t>
  </si>
  <si>
    <t>Parti uguali</t>
  </si>
  <si>
    <t>Largh. (ml.)</t>
  </si>
  <si>
    <t>Lungh. (ml.)</t>
  </si>
  <si>
    <t>SUPERFICI PARZIALI</t>
  </si>
  <si>
    <t>SUPERFICIE COPERTA</t>
  </si>
  <si>
    <t>ALTEZZA</t>
  </si>
  <si>
    <t>VOLUME</t>
  </si>
  <si>
    <t>NOTE</t>
  </si>
  <si>
    <t>Da utilizzare per il calcolo delle superfici dei lotti di forma irregolare da scomporre in triangoli</t>
  </si>
  <si>
    <t>n°</t>
  </si>
  <si>
    <t>LATI TRIANGOLI</t>
  </si>
  <si>
    <t>P (semiper.)</t>
  </si>
  <si>
    <t>AREA</t>
  </si>
  <si>
    <t>interrato</t>
  </si>
  <si>
    <t>lato 1</t>
  </si>
  <si>
    <t>lato 2</t>
  </si>
  <si>
    <t>lato 3</t>
  </si>
  <si>
    <t>SANZ.</t>
  </si>
  <si>
    <t>SU       (mq)</t>
  </si>
  <si>
    <t>SA      (mq)</t>
  </si>
  <si>
    <t>SA detraibili       (mq)</t>
  </si>
  <si>
    <t>DESTINAZIONI D'USO: FUNZIONI</t>
  </si>
  <si>
    <t>totali</t>
  </si>
  <si>
    <t>totale SA</t>
  </si>
  <si>
    <t>SC di PRG             (mq)</t>
  </si>
  <si>
    <t>DETERMINAZIONE DEL COSTO DI PRODUZIONE PER LA RESIDENZA</t>
  </si>
  <si>
    <t>DETERMINAZIONE SUPERFICIE CONVENZIONALE</t>
  </si>
  <si>
    <t>DESCRIZIONE IMMOBILE</t>
  </si>
  <si>
    <t>SUPERFICIE REALE</t>
  </si>
  <si>
    <t>SUPERFICIE DA CONSIDERARE</t>
  </si>
  <si>
    <t>Coeffic.</t>
  </si>
  <si>
    <t>SUPERFICIE CONVENZIONALE</t>
  </si>
  <si>
    <t>Unità superiore a mq. 70</t>
  </si>
  <si>
    <t>Unità tra mq. 46 e mq. 70</t>
  </si>
  <si>
    <t>Unità &lt; mq. 46</t>
  </si>
  <si>
    <t>Autorimesse singole</t>
  </si>
  <si>
    <t>Posto macchina in comune</t>
  </si>
  <si>
    <t>Balconi, terrazze, cantine e simili</t>
  </si>
  <si>
    <t>Superficie scoperta in godimento esclusivo</t>
  </si>
  <si>
    <t>Superficie verde in condominio (quota milles.)</t>
  </si>
  <si>
    <t>totale superficie convenzionale</t>
  </si>
  <si>
    <t>DETERMINAZIONE COSTO BASE CON AGGIORNAMENTO ISTAT</t>
  </si>
  <si>
    <t>costo base a metro quadrato</t>
  </si>
  <si>
    <t xml:space="preserve">indice attuale </t>
  </si>
  <si>
    <t>indice di allora</t>
  </si>
  <si>
    <t>incremento ISTAT</t>
  </si>
  <si>
    <t>DETERMINAZIONE COSTO UNITARIO PRODUZIONE</t>
  </si>
  <si>
    <t>COSTO BASE A MQ.</t>
  </si>
  <si>
    <t>TIPOLOGIA  CLASSE</t>
  </si>
  <si>
    <t>DEMOGRAFIA  ABITANTI</t>
  </si>
  <si>
    <t>UBICAZIONE  ZONA</t>
  </si>
  <si>
    <t>LIVELLO           PIANO</t>
  </si>
  <si>
    <t>VETUSTA'  ANNI</t>
  </si>
  <si>
    <t>CONSERVAZ.  STATO</t>
  </si>
  <si>
    <t>COSTO UNITARIO DI PRODUZIONE</t>
  </si>
  <si>
    <t>COSTO DI PRODUZIONE</t>
  </si>
  <si>
    <t>COSTO UNITARIO DI PRODUZIONE AGGIORNATO</t>
  </si>
  <si>
    <t>EVENTUALE RADDOPPIO</t>
  </si>
  <si>
    <t>COSTO DI PRODUZIONE CON EVENTUALE RADDOPPIO</t>
  </si>
  <si>
    <t>TERZIARIA DI INTEGRAZIONE CON LA RESIDENZA</t>
  </si>
  <si>
    <t>ABITATIVA</t>
  </si>
  <si>
    <t>DIREZIONALE COMMERCIALE</t>
  </si>
  <si>
    <t>PRODUTTIVA</t>
  </si>
  <si>
    <t>AGRICOLA</t>
  </si>
  <si>
    <t>ALBERGHIERA</t>
  </si>
  <si>
    <t>1 - Abitativa U 1/1 - U 1/2</t>
  </si>
  <si>
    <t>2 - Commerciale - U 2/1 - U 2/2 - U 2/3</t>
  </si>
  <si>
    <t>3 - Direzionale - U 2/4 - U 2/6</t>
  </si>
  <si>
    <t>4 - Artigianale di Servizio - U 2/5</t>
  </si>
  <si>
    <t>6 - Direzionale - U 3/1</t>
  </si>
  <si>
    <t>7 - Magazzini e depositi per commercio ingrosso - U 3/4</t>
  </si>
  <si>
    <t>SIGLA DESTINAZIONE</t>
  </si>
  <si>
    <t>NUMERO DESTINAZIONE</t>
  </si>
  <si>
    <t>DESCRIZIONE (1)</t>
  </si>
  <si>
    <t>(1) descrivere l'unità immobiliare, oppure, nel  caso di locali comuni, indicare la destinazione del locale</t>
  </si>
  <si>
    <t>U2/1</t>
  </si>
  <si>
    <t>U1/1</t>
  </si>
  <si>
    <t>U2/2</t>
  </si>
  <si>
    <t>U1/2</t>
  </si>
  <si>
    <t>U2/3</t>
  </si>
  <si>
    <t>U2/4</t>
  </si>
  <si>
    <t>U2/6</t>
  </si>
  <si>
    <t>U2/5</t>
  </si>
  <si>
    <t>U3/2</t>
  </si>
  <si>
    <t>U3/5</t>
  </si>
  <si>
    <t>U3/6</t>
  </si>
  <si>
    <t>U3/7</t>
  </si>
  <si>
    <t>U3/3</t>
  </si>
  <si>
    <t>U3/1</t>
  </si>
  <si>
    <t>U3/4</t>
  </si>
  <si>
    <t>U4/2</t>
  </si>
  <si>
    <t>U4/3</t>
  </si>
  <si>
    <t>U5/1</t>
  </si>
  <si>
    <t>U5/2</t>
  </si>
  <si>
    <t>U5/3</t>
  </si>
  <si>
    <t>U5/4</t>
  </si>
  <si>
    <t>U6/1</t>
  </si>
  <si>
    <t>U6/2</t>
  </si>
  <si>
    <t>CODICE</t>
  </si>
  <si>
    <t xml:space="preserve"> </t>
  </si>
  <si>
    <t>U3/5a</t>
  </si>
  <si>
    <t>NUMERO</t>
  </si>
  <si>
    <t>RIDUZIONE 30% PER VANI CON H. INF. 1,70</t>
  </si>
  <si>
    <t>8 - Produttiva U 4/1 - U 4/2 - U 4/3</t>
  </si>
  <si>
    <t>5 - Commerciale - U 3/2 - U 3/3 - U 3/5 - U 3/5a - U 3/6 - U 3/7</t>
  </si>
  <si>
    <t>U4/1</t>
  </si>
  <si>
    <t>DATI METRICI</t>
  </si>
  <si>
    <t>art. 20 NTA</t>
  </si>
  <si>
    <t>COSTI A MC. DELLA MURATURA PIENA NEGLI ANNI PASSATI</t>
  </si>
  <si>
    <t>ANNO</t>
  </si>
  <si>
    <t>COSTO/MC.</t>
  </si>
  <si>
    <t>costo a mc.</t>
  </si>
  <si>
    <t>coefficiente rivalutazione</t>
  </si>
  <si>
    <t>costo a mc. Rivalutato</t>
  </si>
  <si>
    <t>SUPERFICI DELLE SINGOLE UNITA' IMMOBILIARI E PERTINENZE</t>
  </si>
  <si>
    <t>9 - Agricola U 5/1</t>
  </si>
  <si>
    <t>10 - Agricola U 5/2 - U 5/3 - U5/4</t>
  </si>
  <si>
    <t>11 - Alberghiera U 6/1 - U 6/2</t>
  </si>
  <si>
    <t>TIPO DI INTERVENTO</t>
  </si>
  <si>
    <t>RE con CU</t>
  </si>
  <si>
    <t>RE senza CU</t>
  </si>
  <si>
    <t>A2</t>
  </si>
  <si>
    <t>&gt; 160mq.</t>
  </si>
  <si>
    <t>C2 PRODUTTIVO (mq. lordi)</t>
  </si>
  <si>
    <t>D2 AGRICOLO (mq. lordi)</t>
  </si>
  <si>
    <t>&lt;= 95</t>
  </si>
  <si>
    <t>&gt; 95 e &lt;= 110</t>
  </si>
  <si>
    <t>&gt; 110 e &lt;=130</t>
  </si>
  <si>
    <t>&gt; 130 e &lt;=160</t>
  </si>
  <si>
    <t xml:space="preserve">x DISTINTA </t>
  </si>
  <si>
    <t>TIPIEDIFICIO</t>
  </si>
  <si>
    <t>(vedi allegato D delibera di C.R. n. 1108 del 29/03/99)</t>
  </si>
  <si>
    <t>SA totale</t>
  </si>
  <si>
    <t xml:space="preserve"> B2    Direzionale e Commerciale</t>
  </si>
  <si>
    <t>B2 Artigianato Servizi</t>
  </si>
  <si>
    <t xml:space="preserve"> C2         (mq lordi)</t>
  </si>
  <si>
    <t xml:space="preserve"> D2         (mq lordi)</t>
  </si>
  <si>
    <t xml:space="preserve">  E2</t>
  </si>
  <si>
    <t>Per DISTINTA ONERI</t>
  </si>
  <si>
    <t>allegato "D" DCR 1108 del 29/03/99</t>
  </si>
  <si>
    <t>Residnziale esistente (Ristrutturazione edilizia)</t>
  </si>
  <si>
    <t>Commerciale esistente (Ristrutturazione edilizia)</t>
  </si>
  <si>
    <t>Direzionale esistente (Ristrutturazione edilizia)</t>
  </si>
  <si>
    <t>Per Nuova costruzione residenziale</t>
  </si>
  <si>
    <t xml:space="preserve">Per Nuova Costruzione </t>
  </si>
  <si>
    <t>Commerciale</t>
  </si>
  <si>
    <t>Direzionale</t>
  </si>
  <si>
    <t>Turistico</t>
  </si>
  <si>
    <t>Turistico esistente (Ristrutturazione edilizia)</t>
  </si>
  <si>
    <t>FOGLIO</t>
  </si>
  <si>
    <t>MAPPALE</t>
  </si>
  <si>
    <t>SUBALTERNO</t>
  </si>
  <si>
    <t>Sup. lorda per dest. produttive e agricole</t>
  </si>
  <si>
    <t>MQ.</t>
  </si>
  <si>
    <t>ARTIGIANATO DI SERVIZIO</t>
  </si>
  <si>
    <t>MOTETIZZAZIONE VERDE PUBBLICO U2</t>
  </si>
  <si>
    <t xml:space="preserve">realizzato </t>
  </si>
  <si>
    <t>non realizzato e non ceduto</t>
  </si>
  <si>
    <t>COSTO BASE RESIDENZIALE</t>
  </si>
  <si>
    <t>interventi di nuova costruzione</t>
  </si>
  <si>
    <t>COSTO IN EURO</t>
  </si>
  <si>
    <t>(DICEMBRE 1975)</t>
  </si>
  <si>
    <t>in detrazione per ……</t>
  </si>
  <si>
    <t>CAMERA DI COMMERCIO INDUSTRIA ARTIGIANATO E AGRICOLTURA DI TREVISO</t>
  </si>
  <si>
    <t>UFFICIO STATISTICA</t>
  </si>
  <si>
    <t>INDICI GENERALI DEL COSTO DI COSTRUZIONE</t>
  </si>
  <si>
    <t>DI UN FABBRICATO RESIDENZIALE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</si>
  <si>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</si>
  <si>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</si>
  <si>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</si>
  <si>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</si>
  <si>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</si>
  <si>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</si>
  <si>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</si>
  <si>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</si>
  <si>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</si>
  <si>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</si>
  <si>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</si>
  <si>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</si>
  <si>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</si>
  <si>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</si>
  <si>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BASE:  ANNO 1966 = 100</t>
  </si>
  <si>
    <t>BASE:  ANNO 1970 = 100</t>
  </si>
  <si>
    <t>BASE:  ANNO 1976 = 100</t>
  </si>
  <si>
    <t>BASE:  ANNO 1980 = 100</t>
  </si>
  <si>
    <t>BASE:  ANNO 1990 = 100</t>
  </si>
  <si>
    <t>BASE:  ANNO 1995 = 100</t>
  </si>
  <si>
    <t>BASE:  ANNO 2000 = 100</t>
  </si>
  <si>
    <t>Da base 1966 a base 1970 = 1,3482 (*)</t>
  </si>
  <si>
    <t>Da base 1970 a base 1990 = 13,0665 (*)</t>
  </si>
  <si>
    <t>Da base 1966 a base 1970 = 1,3514 (**)</t>
  </si>
  <si>
    <t>Da base 1970 a base 1990 = 13,0352 (**)</t>
  </si>
  <si>
    <t>Da base 1966 a base 1976 = 3,3220</t>
  </si>
  <si>
    <t>Da base 1970 a base 1995 = 16,0979 (*)</t>
  </si>
  <si>
    <t>Da base 1966 a base 1980 = 6,7470</t>
  </si>
  <si>
    <t>Da base 1970 a base 1995 = 16,0594 (**)</t>
  </si>
  <si>
    <t>Da base 1976 a base 1980 = 2,0310</t>
  </si>
  <si>
    <t xml:space="preserve">Da base 1976 a base 1990 = 5,3029 </t>
  </si>
  <si>
    <t>Da base 1970 a base 1976 = 2,4640 (*)</t>
  </si>
  <si>
    <t>Da base 1976 a base 1995 = 6,5332</t>
  </si>
  <si>
    <t>Da base 1970 a base 1976 = 2,4581 (**)</t>
  </si>
  <si>
    <t xml:space="preserve">Da base 1980 a base 1990 = 2,6110 </t>
  </si>
  <si>
    <t>Da base 1970 a base 1980 = 5,0044 (*)</t>
  </si>
  <si>
    <t xml:space="preserve">Da base 1980 a base 1995 = 3,2168 </t>
  </si>
  <si>
    <t>Da base 1970 a base 1980 = 4,9924 (**)</t>
  </si>
  <si>
    <t xml:space="preserve">Da base 1990 a base 1995 = 1,2320 </t>
  </si>
  <si>
    <t xml:space="preserve">Da base 1995 a base 2000 = 1,077 </t>
  </si>
  <si>
    <t>ESEMPIO TRA INDICI di  BASE DIVERSA</t>
  </si>
  <si>
    <t>maggio 1997 e aprile 1995</t>
  </si>
  <si>
    <t>(*) Per gli anni 1971 e 1972</t>
  </si>
  <si>
    <t>COEFFICIENTE di RACCORDO  1,2320</t>
  </si>
  <si>
    <t>(**) Per gli anni dal 1973 al 1976</t>
  </si>
  <si>
    <t>(103,5 x 1,2320 : 122,7 x 100) - 100 =  3,9%</t>
  </si>
  <si>
    <t>N.B.:</t>
  </si>
  <si>
    <t xml:space="preserve">A partire da gennaio 1998, con l'introduzione dell'IRAP, sono stati soppressi </t>
  </si>
  <si>
    <t>giugno1998 e aprile 1995</t>
  </si>
  <si>
    <t>Da base 1976 a base 2000 = 7,0363</t>
  </si>
  <si>
    <t>Da base 1966 a base 1990 = 17,6164</t>
  </si>
  <si>
    <t>Da base 1966 a base 1995 = 21,7034</t>
  </si>
  <si>
    <t xml:space="preserve">Da base 1980 a base 2000 = 3,4645 </t>
  </si>
  <si>
    <t>Da base 1966 a base 2000 = 23,3746</t>
  </si>
  <si>
    <t>Da base 1970 a base 2000 = 17,3374 (*)</t>
  </si>
  <si>
    <t>Da base 1970 a base 2000 = 17,2960 (**)</t>
  </si>
  <si>
    <t xml:space="preserve">Da base 1990 a base 2000 = 1,3269 </t>
  </si>
  <si>
    <t xml:space="preserve">          Da base 1970 (anni 1971 e 1972)  a base 1970 (anni dal 1973 al 1976) = 1,0024</t>
  </si>
  <si>
    <t>alcuni contributi sociali che concorrono alla formazione dell'indice.</t>
  </si>
  <si>
    <t xml:space="preserve">Pertanto, ove si ritenga necessario non considerare gli effetti derivanti </t>
  </si>
  <si>
    <t xml:space="preserve">dall'applicazione della normativa IRAP, è stato elaborato un opportuno </t>
  </si>
  <si>
    <t>(102,7x1,0285x1,2320:122,7x100) - 100 = 6,0%</t>
  </si>
  <si>
    <r>
      <t xml:space="preserve">coefficiente da utilizzare per rendere omogenei gli indici pari a: </t>
    </r>
    <r>
      <rPr>
        <b/>
        <sz val="8"/>
        <rFont val="Arial"/>
        <family val="2"/>
      </rPr>
      <t>1,0285.</t>
    </r>
  </si>
  <si>
    <t>costo di costruzione determinato con determina dirigenziale per l'anno di riferimento</t>
  </si>
  <si>
    <t>Anno di ultimazione dei lavori</t>
  </si>
  <si>
    <t>Costo base</t>
  </si>
  <si>
    <t>regioni centro settentrionali</t>
  </si>
  <si>
    <t>regioni centro meridionali</t>
  </si>
  <si>
    <t>1975 e precedenti</t>
  </si>
  <si>
    <t>L. 27-7-1978, n. 392 (art. 14)</t>
  </si>
  <si>
    <t xml:space="preserve"> 29-7-78, n. 211</t>
  </si>
  <si>
    <t xml:space="preserve"> 260.000 D.P.R. 23-12-1978, n. 1018 12-3-79, n. 70</t>
  </si>
  <si>
    <t xml:space="preserve"> 300.000 D.P.R. 23-12-1978, n. 1018 12-3-79, n. 70</t>
  </si>
  <si>
    <t xml:space="preserve"> 340.000 D.P.R. 20-7-1979, n. 394 22-8-79, n. 229</t>
  </si>
  <si>
    <t>395.000 D.P.R. 16-5-1980, n. 262 23-6-80, n. 170</t>
  </si>
  <si>
    <t xml:space="preserve"> 460.000 D.P.R. 9-4-1982, n. 279 27-5-82, n. 144</t>
  </si>
  <si>
    <t>530.000 D.P.R. 9-4-1982, n. 280 27-5-82, n. 144</t>
  </si>
  <si>
    <t xml:space="preserve"> 620.000 D.P.R. 17-5-1983, n. 494 21-9-83, n. 259</t>
  </si>
  <si>
    <t>1983 (*)</t>
  </si>
  <si>
    <t xml:space="preserve"> 700.000 D.P.R. 18-4-1984, n. 330 18-7-84, n. 196</t>
  </si>
  <si>
    <t xml:space="preserve">1984 (*) </t>
  </si>
  <si>
    <t>765.000 D.P.R. 4-6-1985, n. 267 15-6-85, n. 140</t>
  </si>
  <si>
    <t xml:space="preserve">1985 (*) </t>
  </si>
  <si>
    <t xml:space="preserve"> 820.000 D.P.R. 11-7-1986, n. 496 19-8-86, n. 191</t>
  </si>
  <si>
    <t>1986 (*)</t>
  </si>
  <si>
    <t xml:space="preserve"> 850.000 D.P.R. 11-12-1987, n. 522 24-12-87, n. 300</t>
  </si>
  <si>
    <t>1987 (*)</t>
  </si>
  <si>
    <t xml:space="preserve"> 890.000 D.P.R. 4-5-1989, n. 182 23-5-89, n. 118</t>
  </si>
  <si>
    <t xml:space="preserve">1988 (*) </t>
  </si>
  <si>
    <t xml:space="preserve"> 950.000 D.P.R. 4-5-1989. n. 182 23-5-89, n. 118</t>
  </si>
  <si>
    <t>1989 (*)</t>
  </si>
  <si>
    <t xml:space="preserve"> 1.010.000 D.P.R. 3-9-1990, n. 266 24-9-90, n. 223</t>
  </si>
  <si>
    <t>1990 (*)</t>
  </si>
  <si>
    <t xml:space="preserve"> 1.070.000 D.P.R. 26-9-1991 11-2-92, n. 34</t>
  </si>
  <si>
    <t>1991 (3)</t>
  </si>
  <si>
    <t xml:space="preserve"> 1.160.000 D.M. 9-11-1994 7-2-95, n. 31</t>
  </si>
  <si>
    <t>1992 (3) (gennaio-agosto)</t>
  </si>
  <si>
    <t xml:space="preserve"> 1.180.000 D.M. 9-11-1994 7-2-95, n. 31</t>
  </si>
  <si>
    <t xml:space="preserve">1992 (3) (sett.-dicembre) </t>
  </si>
  <si>
    <t xml:space="preserve"> 1.185.000 D.M. 30-1-1997 28-2-97, n. 49</t>
  </si>
  <si>
    <t>1993 (3)</t>
  </si>
  <si>
    <t>1.215.000 D.M. 30-1-1997 28-2-97, n. 49</t>
  </si>
  <si>
    <t xml:space="preserve">1994 (3) </t>
  </si>
  <si>
    <t>1.250.000 D.M. 30-1-1997 28-2-97, n. 49</t>
  </si>
  <si>
    <t xml:space="preserve">1995 (3) </t>
  </si>
  <si>
    <t xml:space="preserve"> 1.284.000 D.M. 30-1-1997 28-2-97, n. 49</t>
  </si>
  <si>
    <t xml:space="preserve">1996 (3) </t>
  </si>
  <si>
    <t xml:space="preserve"> 1.320.000 D.M. 19-12-1997 13-3-98, n. 60</t>
  </si>
  <si>
    <t>1997 (3)</t>
  </si>
  <si>
    <t xml:space="preserve"> 1.346.000 D.M. 18-12-1998 30-12-98, n. 303</t>
  </si>
  <si>
    <t>COSTO BASE DI PRODUZIONE AL MQ DI EDIFICI DI CIVILE ABITAZIONE</t>
  </si>
  <si>
    <t>(ai sensi dell'art. 22 della legge 27-7-1978, n. 392)</t>
  </si>
  <si>
    <t>BASE:  ANNO 2005 = 100</t>
  </si>
  <si>
    <t>C - COEFFICIENTE DI RACCORDO</t>
  </si>
  <si>
    <t>DA BASE</t>
  </si>
  <si>
    <t>1970 (73-76)</t>
  </si>
  <si>
    <t>1970 (71-72)</t>
  </si>
  <si>
    <t>A BASE</t>
  </si>
  <si>
    <t>BASE:  ANNO 2010 = 100</t>
  </si>
  <si>
    <t>BASE:  ANNO 2015 = 100</t>
  </si>
  <si>
    <t>€</t>
  </si>
  <si>
    <t>INDICE NAZIONALE DEL COSTO DI COSTRUZIONE DI UN FABBRICATO RESIDENZIALE - Indice generale</t>
  </si>
  <si>
    <t>Anni</t>
  </si>
  <si>
    <t>BASE: ANNO 2015 = 100</t>
  </si>
  <si>
    <t>coefficiente di raccordo tra basi differenti</t>
  </si>
  <si>
    <t>(LUGLIO 2020)</t>
  </si>
  <si>
    <t>DATA RILASCIO</t>
  </si>
  <si>
    <t>TOTALE</t>
  </si>
  <si>
    <t>1' RATA</t>
  </si>
  <si>
    <t>2' RATA</t>
  </si>
  <si>
    <t>3' RATA</t>
  </si>
  <si>
    <t>4' RATA</t>
  </si>
  <si>
    <t>IN VIGORE dal 01/01/2024</t>
  </si>
  <si>
    <t>DD  n. ____/2023 del __/12/2023</t>
  </si>
  <si>
    <t>Determinazione Dirigenziale n. ___/2023 del __/12/2022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</si>
</sst>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#,##0.00_ ;\-#,##0.00\ "/>
    <numFmt numFmtId="181" formatCode="#,##0.00000"/>
    <numFmt numFmtId="182" formatCode="&quot;L.&quot;\ #,##0.00"/>
    <numFmt numFmtId="183" formatCode="0.00000"/>
    <numFmt numFmtId="184" formatCode="&quot;L.&quot;0"/>
    <numFmt numFmtId="185" formatCode="#,##0.0"/>
    <numFmt numFmtId="186" formatCode="0.0000"/>
    <numFmt numFmtId="187" formatCode="&quot;L.&quot;#,##0"/>
    <numFmt numFmtId="188" formatCode="_-&quot;€&quot;\ * #,##0.00000_-;\-&quot;€&quot;\ * #,##0.00000_-;_-&quot;€&quot;\ * &quot;-&quot;?????_-;_-@_-"/>
    <numFmt numFmtId="189" formatCode="#,##0.0000"/>
    <numFmt numFmtId="190" formatCode="_-* #,##0.00000\ _€_-;\-* #,##0.00000\ _€_-;_-* &quot;-&quot;?????\ _€_-;_-@_-"/>
  </numFmts>
  <fonts count="60">
    <font>
      <sz val="10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Helvetica-Narrow"/>
      <family val="0"/>
    </font>
    <font>
      <sz val="8"/>
      <name val="Helvetica-Narrow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ahoma"/>
      <family val="0"/>
    </font>
    <font>
      <b/>
      <sz val="11"/>
      <name val="Tahoma"/>
      <family val="0"/>
    </font>
    <font>
      <b/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2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47" fillId="8" borderId="1" applyNumberFormat="0" applyAlignment="0" applyProtection="0"/>
    <xf numFmtId="0" fontId="48" fillId="0" borderId="2" applyNumberFormat="0" applyFill="0" applyAlignment="0" applyProtection="0"/>
    <xf numFmtId="0" fontId="49" fillId="12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6" borderId="0" applyNumberFormat="0" applyBorder="0" applyAlignment="0" applyProtection="0"/>
    <xf numFmtId="0" fontId="29" fillId="0" borderId="0" applyNumberFormat="0" applyAlignment="0" applyProtection="0"/>
    <xf numFmtId="0" fontId="4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187" fontId="30" fillId="0" borderId="0" applyNumberFormat="0" applyAlignment="0" applyProtection="0"/>
    <xf numFmtId="0" fontId="46" fillId="8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0" fillId="0" borderId="10" xfId="0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9" fontId="0" fillId="0" borderId="13" xfId="0" applyNumberFormat="1" applyBorder="1" applyAlignment="1">
      <alignment/>
    </xf>
    <xf numFmtId="0" fontId="3" fillId="5" borderId="14" xfId="0" applyFont="1" applyFill="1" applyBorder="1" applyAlignment="1" applyProtection="1">
      <alignment horizontal="center" vertical="center"/>
      <protection locked="0"/>
    </xf>
    <xf numFmtId="178" fontId="6" fillId="3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178" fontId="5" fillId="3" borderId="16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0" xfId="0" applyNumberFormat="1" applyFont="1" applyAlignment="1" applyProtection="1">
      <alignment/>
      <protection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0" fontId="8" fillId="3" borderId="19" xfId="0" applyNumberFormat="1" applyFont="1" applyFill="1" applyBorder="1" applyAlignment="1">
      <alignment horizontal="center" vertical="center"/>
    </xf>
    <xf numFmtId="178" fontId="8" fillId="3" borderId="19" xfId="0" applyNumberFormat="1" applyFont="1" applyFill="1" applyBorder="1" applyAlignment="1" quotePrefix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right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 quotePrefix="1">
      <alignment horizontal="center" vertical="center"/>
    </xf>
    <xf numFmtId="0" fontId="0" fillId="3" borderId="22" xfId="0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/>
    </xf>
    <xf numFmtId="9" fontId="19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2" fillId="0" borderId="25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" fontId="5" fillId="3" borderId="11" xfId="0" applyNumberFormat="1" applyFont="1" applyFill="1" applyBorder="1" applyAlignment="1" applyProtection="1">
      <alignment horizontal="center" vertical="center"/>
      <protection/>
    </xf>
    <xf numFmtId="10" fontId="8" fillId="3" borderId="11" xfId="0" applyNumberFormat="1" applyFont="1" applyFill="1" applyBorder="1" applyAlignment="1" applyProtection="1">
      <alignment horizontal="center" vertical="center"/>
      <protection/>
    </xf>
    <xf numFmtId="0" fontId="13" fillId="3" borderId="26" xfId="0" applyFont="1" applyFill="1" applyBorder="1" applyAlignment="1" applyProtection="1" quotePrefix="1">
      <alignment horizontal="center" vertical="center"/>
      <protection/>
    </xf>
    <xf numFmtId="4" fontId="3" fillId="3" borderId="28" xfId="0" applyNumberFormat="1" applyFont="1" applyFill="1" applyBorder="1" applyAlignment="1" applyProtection="1">
      <alignment horizontal="left" vertical="center"/>
      <protection/>
    </xf>
    <xf numFmtId="0" fontId="13" fillId="3" borderId="29" xfId="0" applyFont="1" applyFill="1" applyBorder="1" applyAlignment="1" applyProtection="1" quotePrefix="1">
      <alignment horizontal="center" vertical="center"/>
      <protection/>
    </xf>
    <xf numFmtId="4" fontId="3" fillId="3" borderId="30" xfId="0" applyNumberFormat="1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0" borderId="19" xfId="0" applyFont="1" applyFill="1" applyBorder="1" applyAlignment="1" applyProtection="1" quotePrefix="1">
      <alignment horizontal="right" vertical="center"/>
      <protection/>
    </xf>
    <xf numFmtId="0" fontId="0" fillId="3" borderId="22" xfId="0" applyFill="1" applyBorder="1" applyAlignment="1" applyProtection="1">
      <alignment horizontal="center"/>
      <protection/>
    </xf>
    <xf numFmtId="3" fontId="3" fillId="3" borderId="23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" fontId="0" fillId="3" borderId="31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8" fillId="3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0" fillId="3" borderId="11" xfId="0" applyNumberFormat="1" applyFill="1" applyBorder="1" applyAlignment="1" applyProtection="1">
      <alignment vertical="center"/>
      <protection/>
    </xf>
    <xf numFmtId="10" fontId="0" fillId="3" borderId="11" xfId="0" applyNumberFormat="1" applyFill="1" applyBorder="1" applyAlignment="1" applyProtection="1">
      <alignment/>
      <protection/>
    </xf>
    <xf numFmtId="10" fontId="0" fillId="3" borderId="11" xfId="0" applyNumberFormat="1" applyFill="1" applyBorder="1" applyAlignment="1" applyProtection="1">
      <alignment vertical="center"/>
      <protection/>
    </xf>
    <xf numFmtId="4" fontId="6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/>
    </xf>
    <xf numFmtId="2" fontId="0" fillId="3" borderId="11" xfId="0" applyNumberFormat="1" applyFill="1" applyBorder="1" applyAlignment="1" applyProtection="1">
      <alignment/>
      <protection/>
    </xf>
    <xf numFmtId="2" fontId="12" fillId="3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3" fontId="0" fillId="0" borderId="32" xfId="0" applyNumberFormat="1" applyFont="1" applyBorder="1" applyAlignment="1">
      <alignment/>
    </xf>
    <xf numFmtId="4" fontId="0" fillId="0" borderId="15" xfId="0" applyNumberForma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3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textRotation="90" wrapText="1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/>
    </xf>
    <xf numFmtId="2" fontId="0" fillId="3" borderId="33" xfId="0" applyNumberFormat="1" applyFill="1" applyBorder="1" applyAlignment="1">
      <alignment/>
    </xf>
    <xf numFmtId="2" fontId="0" fillId="3" borderId="34" xfId="0" applyNumberFormat="1" applyFill="1" applyBorder="1" applyAlignment="1">
      <alignment/>
    </xf>
    <xf numFmtId="2" fontId="0" fillId="3" borderId="35" xfId="0" applyNumberFormat="1" applyFill="1" applyBorder="1" applyAlignment="1">
      <alignment vertical="center"/>
    </xf>
    <xf numFmtId="2" fontId="0" fillId="3" borderId="21" xfId="0" applyNumberFormat="1" applyFill="1" applyBorder="1" applyAlignment="1">
      <alignment vertical="center"/>
    </xf>
    <xf numFmtId="2" fontId="0" fillId="3" borderId="36" xfId="0" applyNumberFormat="1" applyFill="1" applyBorder="1" applyAlignment="1">
      <alignment vertical="center"/>
    </xf>
    <xf numFmtId="2" fontId="0" fillId="3" borderId="31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36" xfId="0" applyNumberFormat="1" applyFill="1" applyBorder="1" applyAlignment="1">
      <alignment/>
    </xf>
    <xf numFmtId="0" fontId="19" fillId="0" borderId="0" xfId="0" applyFont="1" applyAlignment="1">
      <alignment/>
    </xf>
    <xf numFmtId="2" fontId="0" fillId="3" borderId="18" xfId="0" applyNumberFormat="1" applyFill="1" applyBorder="1" applyAlignment="1">
      <alignment vertical="center"/>
    </xf>
    <xf numFmtId="2" fontId="0" fillId="3" borderId="37" xfId="0" applyNumberForma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0" fillId="3" borderId="11" xfId="0" applyNumberFormat="1" applyFill="1" applyBorder="1" applyAlignment="1">
      <alignment/>
    </xf>
    <xf numFmtId="4" fontId="0" fillId="3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10" fontId="0" fillId="3" borderId="11" xfId="0" applyNumberForma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left"/>
    </xf>
    <xf numFmtId="4" fontId="0" fillId="8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3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3" borderId="26" xfId="0" applyNumberFormat="1" applyFill="1" applyBorder="1" applyAlignment="1">
      <alignment/>
    </xf>
    <xf numFmtId="0" fontId="0" fillId="3" borderId="16" xfId="0" applyFill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5" borderId="1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/>
      <protection locked="0"/>
    </xf>
    <xf numFmtId="0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39" xfId="0" applyFill="1" applyBorder="1" applyAlignment="1" applyProtection="1">
      <alignment horizontal="center"/>
      <protection hidden="1"/>
    </xf>
    <xf numFmtId="3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 horizontal="center"/>
      <protection locked="0"/>
    </xf>
    <xf numFmtId="4" fontId="0" fillId="5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/>
      <protection locked="0"/>
    </xf>
    <xf numFmtId="3" fontId="5" fillId="5" borderId="16" xfId="0" applyNumberFormat="1" applyFont="1" applyFill="1" applyBorder="1" applyAlignment="1" applyProtection="1">
      <alignment/>
      <protection locked="0"/>
    </xf>
    <xf numFmtId="0" fontId="6" fillId="5" borderId="26" xfId="0" applyFont="1" applyFill="1" applyBorder="1" applyAlignment="1" applyProtection="1">
      <alignment horizontal="right"/>
      <protection locked="0"/>
    </xf>
    <xf numFmtId="0" fontId="0" fillId="5" borderId="11" xfId="0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5" borderId="41" xfId="0" applyNumberFormat="1" applyFill="1" applyBorder="1" applyAlignment="1">
      <alignment/>
    </xf>
    <xf numFmtId="4" fontId="0" fillId="3" borderId="16" xfId="0" applyNumberFormat="1" applyFill="1" applyBorder="1" applyAlignment="1">
      <alignment/>
    </xf>
    <xf numFmtId="181" fontId="0" fillId="5" borderId="1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4" fontId="0" fillId="3" borderId="24" xfId="0" applyNumberFormat="1" applyFont="1" applyFill="1" applyBorder="1" applyAlignment="1">
      <alignment/>
    </xf>
    <xf numFmtId="4" fontId="0" fillId="3" borderId="24" xfId="0" applyNumberFormat="1" applyFill="1" applyBorder="1" applyAlignment="1">
      <alignment/>
    </xf>
    <xf numFmtId="4" fontId="0" fillId="3" borderId="1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0" xfId="0" applyAlignment="1">
      <alignment vertical="top" wrapText="1"/>
    </xf>
    <xf numFmtId="9" fontId="0" fillId="3" borderId="1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10" fontId="5" fillId="0" borderId="4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10" fontId="5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0" fontId="5" fillId="0" borderId="13" xfId="0" applyNumberFormat="1" applyFont="1" applyBorder="1" applyAlignment="1">
      <alignment horizontal="center" vertical="center"/>
    </xf>
    <xf numFmtId="10" fontId="3" fillId="3" borderId="1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Border="1" applyAlignment="1">
      <alignment vertical="top" wrapText="1"/>
    </xf>
    <xf numFmtId="0" fontId="9" fillId="0" borderId="25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top" wrapText="1"/>
      <protection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4" fontId="0" fillId="3" borderId="32" xfId="0" applyNumberFormat="1" applyFont="1" applyFill="1" applyBorder="1" applyAlignment="1">
      <alignment/>
    </xf>
    <xf numFmtId="4" fontId="0" fillId="5" borderId="14" xfId="0" applyNumberFormat="1" applyFill="1" applyBorder="1" applyAlignment="1" applyProtection="1">
      <alignment/>
      <protection locked="0"/>
    </xf>
    <xf numFmtId="4" fontId="0" fillId="5" borderId="33" xfId="0" applyNumberFormat="1" applyFill="1" applyBorder="1" applyAlignment="1" applyProtection="1">
      <alignment/>
      <protection locked="0"/>
    </xf>
    <xf numFmtId="4" fontId="0" fillId="5" borderId="34" xfId="0" applyNumberFormat="1" applyFill="1" applyBorder="1" applyAlignment="1" applyProtection="1">
      <alignment/>
      <protection locked="0"/>
    </xf>
    <xf numFmtId="9" fontId="0" fillId="5" borderId="0" xfId="0" applyNumberFormat="1" applyFont="1" applyFill="1" applyBorder="1" applyAlignment="1" applyProtection="1">
      <alignment/>
      <protection locked="0"/>
    </xf>
    <xf numFmtId="9" fontId="0" fillId="5" borderId="0" xfId="0" applyNumberFormat="1" applyFill="1" applyBorder="1" applyAlignment="1" applyProtection="1">
      <alignment/>
      <protection locked="0"/>
    </xf>
    <xf numFmtId="9" fontId="0" fillId="5" borderId="10" xfId="0" applyNumberFormat="1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180" fontId="0" fillId="5" borderId="15" xfId="66" applyNumberFormat="1" applyFont="1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3" borderId="32" xfId="0" applyFont="1" applyFill="1" applyBorder="1" applyAlignment="1">
      <alignment/>
    </xf>
    <xf numFmtId="2" fontId="3" fillId="3" borderId="14" xfId="0" applyNumberFormat="1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top" wrapText="1"/>
      <protection/>
    </xf>
    <xf numFmtId="2" fontId="0" fillId="3" borderId="15" xfId="0" applyNumberFormat="1" applyFill="1" applyBorder="1" applyAlignment="1" applyProtection="1">
      <alignment/>
      <protection/>
    </xf>
    <xf numFmtId="170" fontId="0" fillId="3" borderId="15" xfId="66" applyNumberFormat="1" applyFont="1" applyFill="1" applyBorder="1" applyAlignment="1">
      <alignment/>
    </xf>
    <xf numFmtId="0" fontId="6" fillId="0" borderId="0" xfId="0" applyNumberFormat="1" applyFont="1" applyAlignment="1">
      <alignment horizontal="left" vertical="center"/>
    </xf>
    <xf numFmtId="0" fontId="3" fillId="5" borderId="14" xfId="0" applyFont="1" applyFill="1" applyBorder="1" applyAlignment="1" applyProtection="1">
      <alignment/>
      <protection locked="0"/>
    </xf>
    <xf numFmtId="183" fontId="0" fillId="3" borderId="0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81" fontId="0" fillId="3" borderId="15" xfId="0" applyNumberForma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10" xfId="0" applyNumberFormat="1" applyFill="1" applyBorder="1" applyAlignment="1">
      <alignment/>
    </xf>
    <xf numFmtId="181" fontId="3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5" borderId="10" xfId="0" applyNumberFormat="1" applyFont="1" applyFill="1" applyBorder="1" applyAlignment="1" applyProtection="1">
      <alignment/>
      <protection locked="0"/>
    </xf>
    <xf numFmtId="4" fontId="0" fillId="3" borderId="1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181" fontId="0" fillId="3" borderId="15" xfId="0" applyNumberFormat="1" applyFont="1" applyFill="1" applyBorder="1" applyAlignment="1">
      <alignment/>
    </xf>
    <xf numFmtId="2" fontId="0" fillId="3" borderId="0" xfId="0" applyNumberFormat="1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 locked="0"/>
    </xf>
    <xf numFmtId="4" fontId="0" fillId="3" borderId="16" xfId="0" applyNumberFormat="1" applyFont="1" applyFill="1" applyBorder="1" applyAlignment="1">
      <alignment/>
    </xf>
    <xf numFmtId="179" fontId="3" fillId="5" borderId="48" xfId="0" applyNumberFormat="1" applyFont="1" applyFill="1" applyBorder="1" applyAlignment="1" applyProtection="1">
      <alignment/>
      <protection locked="0"/>
    </xf>
    <xf numFmtId="179" fontId="19" fillId="0" borderId="4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 quotePrefix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0" fillId="18" borderId="25" xfId="0" applyFill="1" applyBorder="1" applyAlignment="1">
      <alignment/>
    </xf>
    <xf numFmtId="179" fontId="9" fillId="18" borderId="0" xfId="0" applyNumberFormat="1" applyFont="1" applyFill="1" applyBorder="1" applyAlignment="1">
      <alignment horizontal="left" vertical="center"/>
    </xf>
    <xf numFmtId="0" fontId="7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/>
    </xf>
    <xf numFmtId="179" fontId="12" fillId="18" borderId="0" xfId="0" applyNumberFormat="1" applyFont="1" applyFill="1" applyBorder="1" applyAlignment="1" quotePrefix="1">
      <alignment horizontal="center" vertical="center"/>
    </xf>
    <xf numFmtId="179" fontId="7" fillId="18" borderId="0" xfId="0" applyNumberFormat="1" applyFont="1" applyFill="1" applyBorder="1" applyAlignment="1">
      <alignment horizontal="left" vertical="center"/>
    </xf>
    <xf numFmtId="0" fontId="17" fillId="0" borderId="53" xfId="0" applyFont="1" applyFill="1" applyBorder="1" applyAlignment="1">
      <alignment horizontal="center" vertical="center"/>
    </xf>
    <xf numFmtId="179" fontId="19" fillId="0" borderId="54" xfId="0" applyNumberFormat="1" applyFont="1" applyFill="1" applyBorder="1" applyAlignment="1">
      <alignment horizontal="center" vertical="center"/>
    </xf>
    <xf numFmtId="179" fontId="19" fillId="0" borderId="55" xfId="0" applyNumberFormat="1" applyFont="1" applyFill="1" applyBorder="1" applyAlignment="1">
      <alignment horizontal="center" vertical="center"/>
    </xf>
    <xf numFmtId="179" fontId="19" fillId="0" borderId="56" xfId="0" applyNumberFormat="1" applyFont="1" applyFill="1" applyBorder="1" applyAlignment="1">
      <alignment horizontal="center" vertical="center"/>
    </xf>
    <xf numFmtId="179" fontId="19" fillId="0" borderId="57" xfId="0" applyNumberFormat="1" applyFont="1" applyFill="1" applyBorder="1" applyAlignment="1">
      <alignment horizontal="center" vertical="center"/>
    </xf>
    <xf numFmtId="179" fontId="19" fillId="0" borderId="58" xfId="0" applyNumberFormat="1" applyFont="1" applyFill="1" applyBorder="1" applyAlignment="1">
      <alignment horizontal="center" vertical="center"/>
    </xf>
    <xf numFmtId="179" fontId="19" fillId="0" borderId="59" xfId="0" applyNumberFormat="1" applyFont="1" applyFill="1" applyBorder="1" applyAlignment="1">
      <alignment horizontal="center" vertical="center"/>
    </xf>
    <xf numFmtId="179" fontId="19" fillId="0" borderId="60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179" fontId="19" fillId="0" borderId="6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9" fontId="1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left"/>
    </xf>
    <xf numFmtId="179" fontId="1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48" xfId="0" applyFont="1" applyBorder="1" applyAlignment="1">
      <alignment/>
    </xf>
    <xf numFmtId="0" fontId="9" fillId="0" borderId="63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60" xfId="0" applyBorder="1" applyAlignment="1">
      <alignment/>
    </xf>
    <xf numFmtId="0" fontId="9" fillId="0" borderId="56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0" fontId="9" fillId="0" borderId="64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10" fontId="0" fillId="3" borderId="10" xfId="0" applyNumberFormat="1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179" fontId="9" fillId="0" borderId="13" xfId="0" applyNumberFormat="1" applyFont="1" applyBorder="1" applyAlignment="1">
      <alignment horizontal="left"/>
    </xf>
    <xf numFmtId="0" fontId="9" fillId="0" borderId="4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181" fontId="0" fillId="3" borderId="16" xfId="0" applyNumberFormat="1" applyFill="1" applyBorder="1" applyAlignment="1">
      <alignment horizontal="center" vertical="center"/>
    </xf>
    <xf numFmtId="181" fontId="0" fillId="3" borderId="11" xfId="0" applyNumberFormat="1" applyFill="1" applyBorder="1" applyAlignment="1">
      <alignment horizontal="center" vertical="center"/>
    </xf>
    <xf numFmtId="188" fontId="28" fillId="0" borderId="0" xfId="66" applyNumberFormat="1" applyFont="1" applyAlignment="1">
      <alignment horizontal="right" vertical="center"/>
    </xf>
    <xf numFmtId="170" fontId="3" fillId="0" borderId="0" xfId="65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/>
    </xf>
    <xf numFmtId="189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right" vertical="center"/>
    </xf>
    <xf numFmtId="10" fontId="0" fillId="3" borderId="32" xfId="0" applyNumberFormat="1" applyFont="1" applyFill="1" applyBorder="1" applyAlignment="1">
      <alignment/>
    </xf>
    <xf numFmtId="183" fontId="6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3" fontId="0" fillId="0" borderId="0" xfId="0" applyNumberFormat="1" applyAlignment="1">
      <alignment/>
    </xf>
    <xf numFmtId="0" fontId="23" fillId="0" borderId="0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center" vertical="center"/>
    </xf>
    <xf numFmtId="179" fontId="23" fillId="18" borderId="66" xfId="0" applyNumberFormat="1" applyFont="1" applyFill="1" applyBorder="1" applyAlignment="1">
      <alignment horizontal="left" vertical="center"/>
    </xf>
    <xf numFmtId="179" fontId="4" fillId="0" borderId="67" xfId="0" applyNumberFormat="1" applyFont="1" applyFill="1" applyBorder="1" applyAlignment="1">
      <alignment horizontal="center" vertical="center"/>
    </xf>
    <xf numFmtId="179" fontId="23" fillId="18" borderId="68" xfId="0" applyNumberFormat="1" applyFont="1" applyFill="1" applyBorder="1" applyAlignment="1">
      <alignment horizontal="left" vertical="center"/>
    </xf>
    <xf numFmtId="179" fontId="4" fillId="0" borderId="69" xfId="0" applyNumberFormat="1" applyFont="1" applyFill="1" applyBorder="1" applyAlignment="1">
      <alignment horizontal="center" vertical="center"/>
    </xf>
    <xf numFmtId="179" fontId="4" fillId="0" borderId="7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23" fillId="0" borderId="56" xfId="0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1" fontId="56" fillId="0" borderId="0" xfId="49" applyNumberFormat="1" applyFont="1" applyAlignment="1">
      <alignment horizontal="center"/>
      <protection/>
    </xf>
    <xf numFmtId="185" fontId="55" fillId="0" borderId="0" xfId="49" applyNumberFormat="1">
      <alignment/>
      <protection/>
    </xf>
    <xf numFmtId="1" fontId="3" fillId="0" borderId="0" xfId="50" applyNumberFormat="1" applyFont="1" applyAlignment="1">
      <alignment horizontal="center"/>
      <protection/>
    </xf>
    <xf numFmtId="188" fontId="37" fillId="0" borderId="0" xfId="66" applyNumberFormat="1" applyFont="1" applyAlignment="1">
      <alignment horizontal="right" vertical="center"/>
    </xf>
    <xf numFmtId="4" fontId="28" fillId="0" borderId="0" xfId="0" applyNumberFormat="1" applyFont="1" applyAlignment="1">
      <alignment horizontal="center" vertical="center"/>
    </xf>
    <xf numFmtId="14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/>
    </xf>
    <xf numFmtId="0" fontId="19" fillId="0" borderId="73" xfId="0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170" fontId="0" fillId="0" borderId="0" xfId="66" applyNumberFormat="1" applyFont="1" applyAlignment="1">
      <alignment horizontal="right" vertical="center"/>
    </xf>
    <xf numFmtId="0" fontId="0" fillId="0" borderId="4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7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71" xfId="0" applyFont="1" applyFill="1" applyBorder="1" applyAlignment="1">
      <alignment horizontal="center" vertical="center" textRotation="90" wrapText="1"/>
    </xf>
    <xf numFmtId="0" fontId="0" fillId="0" borderId="71" xfId="0" applyFont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3" borderId="20" xfId="0" applyNumberFormat="1" applyFill="1" applyBorder="1" applyAlignment="1">
      <alignment horizontal="center" vertical="center"/>
    </xf>
    <xf numFmtId="2" fontId="0" fillId="3" borderId="77" xfId="0" applyNumberFormat="1" applyFill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3" fillId="0" borderId="7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31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3" fillId="0" borderId="75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20" fillId="2" borderId="15" xfId="0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0" fontId="3" fillId="2" borderId="4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0" fillId="0" borderId="32" xfId="0" applyNumberFormat="1" applyBorder="1" applyAlignment="1">
      <alignment wrapText="1"/>
    </xf>
    <xf numFmtId="0" fontId="0" fillId="0" borderId="6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3" borderId="0" xfId="0" applyNumberFormat="1" applyFill="1" applyBorder="1" applyAlignment="1">
      <alignment/>
    </xf>
    <xf numFmtId="4" fontId="0" fillId="0" borderId="32" xfId="0" applyNumberFormat="1" applyBorder="1" applyAlignment="1">
      <alignment horizontal="center"/>
    </xf>
    <xf numFmtId="0" fontId="3" fillId="2" borderId="48" xfId="0" applyFont="1" applyFill="1" applyBorder="1" applyAlignment="1">
      <alignment horizontal="center" vertical="center" textRotation="90" wrapText="1"/>
    </xf>
    <xf numFmtId="0" fontId="3" fillId="2" borderId="6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4" fontId="3" fillId="0" borderId="26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4" xfId="0" applyFont="1" applyFill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/>
    </xf>
    <xf numFmtId="4" fontId="0" fillId="3" borderId="10" xfId="0" applyNumberFormat="1" applyFont="1" applyFill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" borderId="10" xfId="0" applyNumberFormat="1" applyFill="1" applyBorder="1" applyAlignment="1">
      <alignment/>
    </xf>
    <xf numFmtId="0" fontId="13" fillId="2" borderId="48" xfId="0" applyFont="1" applyFill="1" applyBorder="1" applyAlignment="1">
      <alignment horizontal="center" vertical="center" textRotation="90" wrapText="1"/>
    </xf>
    <xf numFmtId="0" fontId="13" fillId="2" borderId="63" xfId="0" applyFont="1" applyFill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59" fillId="2" borderId="43" xfId="0" applyNumberFormat="1" applyFont="1" applyFill="1" applyBorder="1" applyAlignment="1">
      <alignment horizontal="center" vertical="center" wrapText="1"/>
    </xf>
    <xf numFmtId="4" fontId="59" fillId="2" borderId="32" xfId="0" applyNumberFormat="1" applyFont="1" applyFill="1" applyBorder="1" applyAlignment="1">
      <alignment horizontal="center" vertical="center" wrapText="1"/>
    </xf>
    <xf numFmtId="4" fontId="59" fillId="2" borderId="44" xfId="0" applyNumberFormat="1" applyFont="1" applyFill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0" fillId="0" borderId="78" xfId="0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 applyProtection="1">
      <alignment horizontal="center" vertical="center" wrapText="1"/>
      <protection/>
    </xf>
    <xf numFmtId="0" fontId="10" fillId="0" borderId="8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81" xfId="0" applyFont="1" applyBorder="1" applyAlignment="1" applyProtection="1">
      <alignment horizontal="center" vertical="center" wrapText="1"/>
      <protection/>
    </xf>
    <xf numFmtId="0" fontId="10" fillId="0" borderId="82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10" fillId="0" borderId="27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81" xfId="0" applyFont="1" applyBorder="1" applyAlignment="1" applyProtection="1">
      <alignment horizontal="right" vertical="center"/>
      <protection/>
    </xf>
    <xf numFmtId="4" fontId="14" fillId="3" borderId="35" xfId="0" applyNumberFormat="1" applyFont="1" applyFill="1" applyBorder="1" applyAlignment="1" applyProtection="1">
      <alignment horizontal="center"/>
      <protection/>
    </xf>
    <xf numFmtId="4" fontId="14" fillId="3" borderId="36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9" fillId="5" borderId="2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25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2" fontId="0" fillId="3" borderId="14" xfId="0" applyNumberFormat="1" applyFill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2" fontId="0" fillId="3" borderId="11" xfId="0" applyNumberFormat="1" applyFill="1" applyBorder="1" applyAlignment="1" applyProtection="1">
      <alignment horizontal="center"/>
      <protection/>
    </xf>
    <xf numFmtId="9" fontId="0" fillId="3" borderId="11" xfId="0" applyNumberForma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horizontal="center" vertical="center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7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3" fillId="3" borderId="26" xfId="0" applyNumberFormat="1" applyFont="1" applyFill="1" applyBorder="1" applyAlignment="1" applyProtection="1">
      <alignment horizontal="center" vertical="center"/>
      <protection/>
    </xf>
    <xf numFmtId="10" fontId="3" fillId="3" borderId="15" xfId="0" applyNumberFormat="1" applyFont="1" applyFill="1" applyBorder="1" applyAlignment="1" applyProtection="1">
      <alignment horizontal="center" vertical="center"/>
      <protection/>
    </xf>
    <xf numFmtId="10" fontId="3" fillId="3" borderId="16" xfId="0" applyNumberFormat="1" applyFont="1" applyFill="1" applyBorder="1" applyAlignment="1" applyProtection="1">
      <alignment horizontal="center" vertical="center"/>
      <protection/>
    </xf>
    <xf numFmtId="0" fontId="10" fillId="3" borderId="78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0" fillId="5" borderId="26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6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4" fontId="3" fillId="3" borderId="26" xfId="0" applyNumberFormat="1" applyFont="1" applyFill="1" applyBorder="1" applyAlignment="1" applyProtection="1">
      <alignment horizontal="center" vertical="center"/>
      <protection/>
    </xf>
    <xf numFmtId="4" fontId="3" fillId="3" borderId="15" xfId="0" applyNumberFormat="1" applyFont="1" applyFill="1" applyBorder="1" applyAlignment="1" applyProtection="1">
      <alignment horizontal="center" vertical="center"/>
      <protection/>
    </xf>
    <xf numFmtId="4" fontId="3" fillId="3" borderId="16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3" fillId="3" borderId="26" xfId="0" applyNumberFormat="1" applyFont="1" applyFill="1" applyBorder="1" applyAlignment="1" applyProtection="1">
      <alignment horizontal="center" vertical="center"/>
      <protection/>
    </xf>
    <xf numFmtId="9" fontId="3" fillId="3" borderId="15" xfId="0" applyNumberFormat="1" applyFont="1" applyFill="1" applyBorder="1" applyAlignment="1" applyProtection="1">
      <alignment horizontal="center" vertical="center"/>
      <protection/>
    </xf>
    <xf numFmtId="9" fontId="3" fillId="3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5" borderId="32" xfId="0" applyFill="1" applyBorder="1" applyAlignment="1" applyProtection="1">
      <alignment horizontal="left"/>
      <protection locked="0"/>
    </xf>
    <xf numFmtId="0" fontId="0" fillId="5" borderId="44" xfId="0" applyFill="1" applyBorder="1" applyAlignment="1" applyProtection="1">
      <alignment/>
      <protection locked="0"/>
    </xf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4" fontId="24" fillId="3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15" xfId="0" applyBorder="1" applyAlignment="1">
      <alignment horizontal="right"/>
    </xf>
    <xf numFmtId="185" fontId="55" fillId="0" borderId="0" xfId="49" applyNumberFormat="1" applyFont="1" applyAlignment="1">
      <alignment horizontal="center" vertical="center"/>
      <protection/>
    </xf>
    <xf numFmtId="185" fontId="55" fillId="0" borderId="0" xfId="49" applyNumberFormat="1" applyAlignment="1">
      <alignment horizontal="center" vertical="center"/>
      <protection/>
    </xf>
    <xf numFmtId="185" fontId="55" fillId="8" borderId="0" xfId="49" applyNumberFormat="1" applyFill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ida" xfId="44"/>
    <cellStyle name="Input" xfId="45"/>
    <cellStyle name="Comma" xfId="46"/>
    <cellStyle name="Comma [0]" xfId="47"/>
    <cellStyle name="Neutrale" xfId="48"/>
    <cellStyle name="Normale_Foglio1" xfId="49"/>
    <cellStyle name="Normale_Foglio1_1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108</xdr:row>
      <xdr:rowOff>76200</xdr:rowOff>
    </xdr:from>
    <xdr:to>
      <xdr:col>5</xdr:col>
      <xdr:colOff>428625</xdr:colOff>
      <xdr:row>108</xdr:row>
      <xdr:rowOff>76200</xdr:rowOff>
    </xdr:to>
    <xdr:sp>
      <xdr:nvSpPr>
        <xdr:cNvPr id="1" name="Line 1"/>
        <xdr:cNvSpPr>
          <a:spLocks/>
        </xdr:cNvSpPr>
      </xdr:nvSpPr>
      <xdr:spPr>
        <a:xfrm>
          <a:off x="2952750" y="17373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106</xdr:row>
      <xdr:rowOff>76200</xdr:rowOff>
    </xdr:from>
    <xdr:to>
      <xdr:col>5</xdr:col>
      <xdr:colOff>428625</xdr:colOff>
      <xdr:row>106</xdr:row>
      <xdr:rowOff>76200</xdr:rowOff>
    </xdr:to>
    <xdr:sp>
      <xdr:nvSpPr>
        <xdr:cNvPr id="2" name="Line 4"/>
        <xdr:cNvSpPr>
          <a:spLocks/>
        </xdr:cNvSpPr>
      </xdr:nvSpPr>
      <xdr:spPr>
        <a:xfrm>
          <a:off x="2952750" y="1710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106</xdr:row>
      <xdr:rowOff>76200</xdr:rowOff>
    </xdr:from>
    <xdr:to>
      <xdr:col>5</xdr:col>
      <xdr:colOff>428625</xdr:colOff>
      <xdr:row>106</xdr:row>
      <xdr:rowOff>76200</xdr:rowOff>
    </xdr:to>
    <xdr:sp>
      <xdr:nvSpPr>
        <xdr:cNvPr id="3" name="Line 4"/>
        <xdr:cNvSpPr>
          <a:spLocks/>
        </xdr:cNvSpPr>
      </xdr:nvSpPr>
      <xdr:spPr>
        <a:xfrm>
          <a:off x="2952750" y="1710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L94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1" width="5.7109375" style="0" customWidth="1"/>
    <col min="2" max="2" width="8.140625" style="118" customWidth="1"/>
    <col min="3" max="3" width="5.7109375" style="0" customWidth="1"/>
    <col min="4" max="4" width="4.8515625" style="118" customWidth="1"/>
    <col min="5" max="5" width="22.421875" style="0" customWidth="1"/>
    <col min="6" max="6" width="12.7109375" style="0" customWidth="1"/>
    <col min="7" max="7" width="5.7109375" style="0" customWidth="1"/>
    <col min="8" max="8" width="4.421875" style="118" customWidth="1"/>
    <col min="9" max="10" width="9.00390625" style="0" customWidth="1"/>
    <col min="11" max="11" width="9.8515625" style="0" customWidth="1"/>
    <col min="12" max="12" width="12.00390625" style="0" customWidth="1"/>
    <col min="13" max="13" width="9.8515625" style="0" customWidth="1"/>
    <col min="14" max="14" width="17.140625" style="0" hidden="1" customWidth="1"/>
    <col min="15" max="15" width="6.00390625" style="0" hidden="1" customWidth="1"/>
    <col min="16" max="16" width="7.00390625" style="0" hidden="1" customWidth="1"/>
    <col min="17" max="19" width="4.7109375" style="0" hidden="1" customWidth="1"/>
    <col min="20" max="20" width="7.7109375" style="0" hidden="1" customWidth="1"/>
    <col min="21" max="21" width="13.421875" style="0" hidden="1" customWidth="1"/>
    <col min="22" max="22" width="11.00390625" style="0" hidden="1" customWidth="1"/>
    <col min="23" max="23" width="8.421875" style="0" hidden="1" customWidth="1"/>
    <col min="24" max="24" width="9.140625" style="0" hidden="1" customWidth="1"/>
    <col min="25" max="25" width="5.140625" style="0" hidden="1" customWidth="1"/>
    <col min="26" max="26" width="13.00390625" style="0" hidden="1" customWidth="1"/>
    <col min="27" max="27" width="10.421875" style="0" hidden="1" customWidth="1"/>
    <col min="28" max="28" width="6.421875" style="0" hidden="1" customWidth="1"/>
    <col min="29" max="29" width="6.00390625" style="0" hidden="1" customWidth="1"/>
    <col min="30" max="30" width="4.421875" style="0" hidden="1" customWidth="1"/>
    <col min="31" max="31" width="13.421875" style="0" hidden="1" customWidth="1"/>
    <col min="32" max="32" width="13.00390625" style="0" hidden="1" customWidth="1"/>
    <col min="33" max="33" width="11.7109375" style="0" hidden="1" customWidth="1"/>
    <col min="34" max="34" width="10.8515625" style="0" hidden="1" customWidth="1"/>
    <col min="35" max="35" width="11.8515625" style="0" hidden="1" customWidth="1"/>
    <col min="36" max="36" width="13.421875" style="0" hidden="1" customWidth="1"/>
    <col min="37" max="37" width="11.421875" style="0" hidden="1" customWidth="1"/>
    <col min="38" max="38" width="9.140625" style="0" hidden="1" customWidth="1"/>
    <col min="39" max="39" width="0" style="0" hidden="1" customWidth="1"/>
  </cols>
  <sheetData>
    <row r="1" spans="1:13" s="18" customFormat="1" ht="23.25" customHeight="1" thickBot="1">
      <c r="A1" s="401" t="s">
        <v>265</v>
      </c>
      <c r="B1" s="401"/>
      <c r="C1" s="401"/>
      <c r="D1" s="401"/>
      <c r="E1" s="401"/>
      <c r="F1" s="399"/>
      <c r="G1" s="399"/>
      <c r="H1" s="399"/>
      <c r="I1" s="399"/>
      <c r="J1" s="399"/>
      <c r="K1" s="399"/>
      <c r="L1" s="399"/>
      <c r="M1" s="230"/>
    </row>
    <row r="2" spans="1:38" ht="15.75" customHeight="1" thickBot="1">
      <c r="A2" s="429" t="s">
        <v>300</v>
      </c>
      <c r="B2" s="402" t="s">
        <v>301</v>
      </c>
      <c r="C2" s="402" t="s">
        <v>302</v>
      </c>
      <c r="D2" s="402" t="s">
        <v>126</v>
      </c>
      <c r="E2" s="433" t="s">
        <v>224</v>
      </c>
      <c r="F2" s="433" t="s">
        <v>269</v>
      </c>
      <c r="G2" s="451" t="s">
        <v>257</v>
      </c>
      <c r="H2" s="409"/>
      <c r="I2" s="409"/>
      <c r="J2" s="409"/>
      <c r="K2" s="409"/>
      <c r="L2" s="409"/>
      <c r="M2" s="448"/>
      <c r="N2" s="457"/>
      <c r="O2" s="421" t="s">
        <v>294</v>
      </c>
      <c r="P2" s="422"/>
      <c r="Q2" s="422"/>
      <c r="R2" s="422"/>
      <c r="S2" s="422"/>
      <c r="T2" s="423"/>
      <c r="U2" s="421" t="s">
        <v>295</v>
      </c>
      <c r="V2" s="422"/>
      <c r="W2" s="423"/>
      <c r="Y2" s="452" t="s">
        <v>289</v>
      </c>
      <c r="Z2" s="453"/>
      <c r="AA2" s="453"/>
      <c r="AB2" s="453"/>
      <c r="AC2" s="453"/>
      <c r="AD2" s="454"/>
      <c r="AE2" s="426" t="s">
        <v>113</v>
      </c>
      <c r="AF2" s="427"/>
      <c r="AG2" s="428"/>
      <c r="AH2" s="246"/>
      <c r="AI2" s="424" t="s">
        <v>293</v>
      </c>
      <c r="AJ2" s="419" t="s">
        <v>292</v>
      </c>
      <c r="AK2" s="419" t="s">
        <v>291</v>
      </c>
      <c r="AL2" s="419" t="s">
        <v>299</v>
      </c>
    </row>
    <row r="3" spans="1:38" ht="72.75" customHeight="1" thickBot="1">
      <c r="A3" s="430"/>
      <c r="B3" s="431"/>
      <c r="C3" s="432"/>
      <c r="D3" s="400"/>
      <c r="E3" s="434"/>
      <c r="F3" s="456"/>
      <c r="G3" s="185" t="s">
        <v>222</v>
      </c>
      <c r="H3" s="186" t="s">
        <v>223</v>
      </c>
      <c r="I3" s="187" t="s">
        <v>169</v>
      </c>
      <c r="J3" s="187" t="s">
        <v>170</v>
      </c>
      <c r="K3" s="188" t="s">
        <v>171</v>
      </c>
      <c r="L3" s="242" t="s">
        <v>175</v>
      </c>
      <c r="M3" s="270" t="s">
        <v>303</v>
      </c>
      <c r="N3" s="457"/>
      <c r="O3" s="243" t="s">
        <v>276</v>
      </c>
      <c r="P3" s="244" t="s">
        <v>277</v>
      </c>
      <c r="Q3" s="244" t="s">
        <v>278</v>
      </c>
      <c r="R3" s="244" t="s">
        <v>279</v>
      </c>
      <c r="S3" s="245" t="s">
        <v>273</v>
      </c>
      <c r="T3" s="231" t="s">
        <v>283</v>
      </c>
      <c r="U3" s="231" t="s">
        <v>296</v>
      </c>
      <c r="V3" s="231" t="s">
        <v>297</v>
      </c>
      <c r="W3" s="231" t="s">
        <v>298</v>
      </c>
      <c r="Y3" s="248" t="s">
        <v>272</v>
      </c>
      <c r="Z3" s="248" t="s">
        <v>284</v>
      </c>
      <c r="AA3" s="248" t="s">
        <v>285</v>
      </c>
      <c r="AB3" s="248" t="s">
        <v>286</v>
      </c>
      <c r="AC3" s="248" t="s">
        <v>287</v>
      </c>
      <c r="AD3" s="248" t="s">
        <v>288</v>
      </c>
      <c r="AE3" s="271" t="s">
        <v>114</v>
      </c>
      <c r="AF3" s="271" t="s">
        <v>305</v>
      </c>
      <c r="AG3" s="271" t="s">
        <v>116</v>
      </c>
      <c r="AH3" s="246"/>
      <c r="AI3" s="425"/>
      <c r="AJ3" s="420"/>
      <c r="AK3" s="420"/>
      <c r="AL3" s="420"/>
    </row>
    <row r="4" spans="1:38" ht="15" customHeight="1">
      <c r="A4" s="190"/>
      <c r="B4" s="263"/>
      <c r="C4" s="191"/>
      <c r="D4" s="191"/>
      <c r="E4" s="190"/>
      <c r="F4" s="190"/>
      <c r="G4" s="192"/>
      <c r="H4" s="198" t="str">
        <f>VLOOKUP(G:G,A62:B87,2,FALSE)</f>
        <v> </v>
      </c>
      <c r="I4" s="254"/>
      <c r="J4" s="254"/>
      <c r="K4" s="254"/>
      <c r="L4" s="148">
        <f aca="true" t="shared" si="0" ref="L4:L39">SUM(I4,0.6*J4)</f>
        <v>0</v>
      </c>
      <c r="M4" s="255"/>
      <c r="O4" s="145">
        <f>IF(AND($F4="NC",OR($G4="U1/1",$G4="U1/2"),$I4&lt;=95),$I4,0)</f>
        <v>0</v>
      </c>
      <c r="P4" s="145">
        <f>IF(AND($F4="NC",OR($G4="U1/1",$G4="U1/2"),95&lt;$I4,$I4&lt;=110),$I4,0)</f>
        <v>0</v>
      </c>
      <c r="Q4" s="145">
        <f>IF(AND($F4="NC",OR($G4="U1/1",$G4="U1/2"),110&lt;$I4,$I4&lt;=130),$I4,0)</f>
        <v>0</v>
      </c>
      <c r="R4" s="145">
        <f>IF(AND($F4="NC",OR($G4="U1/1",$G4="U1/2"),130&lt;$I4,$I4&lt;=160),$I4,0)</f>
        <v>0</v>
      </c>
      <c r="S4" s="145">
        <f>IF(AND($F4="NC",OR($G4="U1/1",$G4="U1/2"),160&lt;$I4),$I4,0)</f>
        <v>0</v>
      </c>
      <c r="T4" s="145">
        <f>IF(AND($F4="NC",OR($G4="U1/1",$G4="U1/2")),($J4+$K4),0)</f>
        <v>0</v>
      </c>
      <c r="U4" s="145">
        <f>IF(AND($F4="NC",OR($G4="U2/1",$G4="U2/2",$G4="U2/3",$G4="U3/2",$G4="U3/3",$G4="U3/5",$G4="U3/5a",$G4="U3/6",$G4="U3/7")),($I4+($J4+$K4)*0.6),0)</f>
        <v>0</v>
      </c>
      <c r="V4" s="145">
        <f>IF(AND($F4="NC",OR($G4="U2/4",$G4="U2/6",$G4="U3/1")),($I4+($J4+$K4)*0.6),0)</f>
        <v>0</v>
      </c>
      <c r="W4" s="145">
        <f>IF(AND($F4="NC",OR($G4="U6/1",$G4="U6/2")),($I4+($J4+$K4)*0.6),0)</f>
        <v>0</v>
      </c>
      <c r="X4" s="30"/>
      <c r="Y4">
        <f>IF(OR($G4="U1/1",$G4="U1/2"),$I4,0)</f>
        <v>0</v>
      </c>
      <c r="Z4">
        <f>IF(OR($G4="U2/1",$G4="U2/2",$G4="U2/3",$G4="U2/4",$G4="U2/6",$G4="U3/2",$G4="U3/3",$G4="U3/5",$G4="U3/5a",$G4="U3/6",$G4="U3/7",$G4="U3/1"),$I4,0)</f>
        <v>0</v>
      </c>
      <c r="AA4">
        <f aca="true" t="shared" si="1" ref="AA4:AA43">IF($G4="U2/5",$I4,0)</f>
        <v>0</v>
      </c>
      <c r="AB4">
        <f>IF(OR($G4="U3/4",$G4="U4/1",$G4="U4/2",$G4="U4/3"),$M4,0)</f>
        <v>0</v>
      </c>
      <c r="AC4">
        <f>IF(OR($G4="U5/1",$G4="U5/2",$G4="U5/3",$G4="U5/4"),$M4,0)</f>
        <v>0</v>
      </c>
      <c r="AD4">
        <f>IF(OR($G4="U6/1",$G4="U6/2"),$I4,0)</f>
        <v>0</v>
      </c>
      <c r="AE4">
        <f>IF(OR($G4="U3/4",$G4="U4/1",$G4="U4/2",$G4="U4/3"),$M4,0)</f>
        <v>0</v>
      </c>
      <c r="AF4">
        <f>IF($G4="U2/5",$I4+($J4+$K4)*0.6,0)</f>
        <v>0</v>
      </c>
      <c r="AG4">
        <f>IF(OR($G4="U5/1",$G4="U5/2",$G4="U5/3",$G4="U5/4"),$M4,0)</f>
        <v>0</v>
      </c>
      <c r="AI4">
        <f>IF(AND(OR($F4="RE con CU",$F4="RE senza CU"),OR($G4="U2/4",$G4="U2/6",$G4="U3/1")),($I4+($J4+$K4)*0.6),0)</f>
        <v>0</v>
      </c>
      <c r="AJ4">
        <f>IF(AND(OR($F4="RE con CU",$F4="RE senza CU"),OR($G4="U2/1",$G4="U2/2",$G4="U2/3",$G4="U3/2",$G4="U3/3",$G4="U3/5",$G4="U3/5a",$G4="U3/6",$G4="U3/7")),($I4+($J4+$K4)*0.6),0)</f>
        <v>0</v>
      </c>
      <c r="AK4">
        <f aca="true" t="shared" si="2" ref="AK4:AK43">IF(AND(OR($F4="RE con CU",$F4="RE senza CU"),OR($G4="U1/1",$G4="U1/2")),($I4+($J4+$K4)*0.6),0)</f>
        <v>0</v>
      </c>
      <c r="AL4">
        <f>IF(AND(OR($F4="RE con CU",$F4="RE senza CU"),OR($G4="U6/1",$G4="U6/2")),($I4+($J4+$K4)*0.6),0)</f>
        <v>0</v>
      </c>
    </row>
    <row r="5" spans="1:38" ht="15" customHeight="1">
      <c r="A5" s="190"/>
      <c r="B5" s="263"/>
      <c r="C5" s="191"/>
      <c r="D5" s="191"/>
      <c r="E5" s="190"/>
      <c r="F5" s="190"/>
      <c r="G5" s="192"/>
      <c r="H5" s="198" t="str">
        <f>VLOOKUP(G:G,A62:B87,2,FALSE)</f>
        <v> </v>
      </c>
      <c r="I5" s="254"/>
      <c r="J5" s="254"/>
      <c r="K5" s="254"/>
      <c r="L5" s="148">
        <f t="shared" si="0"/>
        <v>0</v>
      </c>
      <c r="M5" s="255"/>
      <c r="O5" s="145">
        <f aca="true" t="shared" si="3" ref="O5:O43">IF(AND($F5="NC",OR($G5="U1/1",$G5="U1/2"),$I5&lt;=95),$I5,0)</f>
        <v>0</v>
      </c>
      <c r="P5" s="145">
        <f aca="true" t="shared" si="4" ref="P5:P43">IF(AND($F5="NC",OR($G5="U1/1",$G5="U1/2"),95&lt;$I5,$I5&lt;=110),$I5,0)</f>
        <v>0</v>
      </c>
      <c r="Q5" s="145">
        <f aca="true" t="shared" si="5" ref="Q5:Q43">IF(AND($F5="NC",OR($G5="U1/1",$G5="U1/2"),110&lt;$I5,$I5&lt;=130),$I5,0)</f>
        <v>0</v>
      </c>
      <c r="R5" s="145">
        <f aca="true" t="shared" si="6" ref="R5:R43">IF(AND($F5="NC",OR($G5="U1/1",$G5="U1/2"),130&lt;$I5,$I5&lt;=160),$I5,0)</f>
        <v>0</v>
      </c>
      <c r="S5" s="145">
        <f aca="true" t="shared" si="7" ref="S5:S43">IF(AND($F5="NC",OR($G5="U1/1",$G5="U1/2"),160&lt;$I5),$I5,0)</f>
        <v>0</v>
      </c>
      <c r="T5" s="145">
        <f aca="true" t="shared" si="8" ref="T5:T43">IF(AND($F5="NC",OR($G5="U1/1",$G5="U1/2")),($J5+$K5),0)</f>
        <v>0</v>
      </c>
      <c r="U5" s="145">
        <f aca="true" t="shared" si="9" ref="U5:U43">IF(AND($F5="NC",OR($G5="U2/1",$G5="U2/2",$G5="U2/3",$G5="U3/2",$G5="U3/3",$G5="U3/5",$G5="U3/5a",$G5="U3/6",$G5="U3/7")),($I5+($J5+$K5)*0.6),0)</f>
        <v>0</v>
      </c>
      <c r="V5" s="145">
        <f aca="true" t="shared" si="10" ref="V5:V43">IF(AND($F5="NC",OR($G5="U2/4",$G5="U2/6",$G5="U3/1")),($I5+($J5+$K5)*0.6),0)</f>
        <v>0</v>
      </c>
      <c r="W5" s="145">
        <f aca="true" t="shared" si="11" ref="W5:W43">IF(AND($F5="NC",OR($G5="U6/1",$G5="U6/2")),($I5+($J5+$K5)*0.6),0)</f>
        <v>0</v>
      </c>
      <c r="Y5">
        <f aca="true" t="shared" si="12" ref="Y5:Y43">IF(OR($G5="U1/1",$G5="U1/2"),$I5,0)</f>
        <v>0</v>
      </c>
      <c r="Z5">
        <f aca="true" t="shared" si="13" ref="Z5:Z43">IF(OR($G5="U2/1",$G5="U2/2",$G5="U2/3",$G5="U2/4",$G5="U2/6",$G5="U3/2",$G5="U3/3",$G5="U3/5",$G5="U3/5a",$G5="U3/6",$G5="U3/7",$G5="U3/1"),$I5,0)</f>
        <v>0</v>
      </c>
      <c r="AA5">
        <f t="shared" si="1"/>
        <v>0</v>
      </c>
      <c r="AB5">
        <f aca="true" t="shared" si="14" ref="AB5:AB43">IF(OR($G5="U3/4",$G5="U4/1",$G5="U4/2",$G5="U4/3"),$M5,0)</f>
        <v>0</v>
      </c>
      <c r="AC5">
        <f aca="true" t="shared" si="15" ref="AC5:AC43">IF(OR($G5="U5/1",$G5="U5/2",$G5="U5/3",$G5="U5/4"),$M5,0)</f>
        <v>0</v>
      </c>
      <c r="AD5">
        <f aca="true" t="shared" si="16" ref="AD5:AD43">IF(OR($G5="U6/1",$G5="U6/2"),$I5,0)</f>
        <v>0</v>
      </c>
      <c r="AE5">
        <f aca="true" t="shared" si="17" ref="AE5:AE17">IF(OR($G5="U3/4",$G5="U4/1",$G5="U4/2",$G5="U4/3"),$M5,0)</f>
        <v>0</v>
      </c>
      <c r="AF5">
        <f aca="true" t="shared" si="18" ref="AF5:AF17">IF($G5="U2/5",$I5+($J5+$K5)*0.6,0)</f>
        <v>0</v>
      </c>
      <c r="AG5">
        <f aca="true" t="shared" si="19" ref="AG5:AG17">IF(OR($G5="U5/1",$G5="U5/2",$G5="U5/3",$G5="U5/4"),$M5,0)</f>
        <v>0</v>
      </c>
      <c r="AI5">
        <f aca="true" t="shared" si="20" ref="AI5:AI43">IF(AND(OR($F5="RE con CU",$F5="RE senza CU"),OR($G5="U2/4",$G5="U2/6",$G5="U3/1")),($I5+($J5+$K5)*0.6),0)</f>
        <v>0</v>
      </c>
      <c r="AJ5">
        <f aca="true" t="shared" si="21" ref="AJ5:AJ43">IF(AND(OR($F5="RE con CU",$F5="RE senza CU"),OR($G5="U2/1",$G5="U2/2",$G5="U2/3",$G5="U3/2",$G5="U3/3",$G5="U3/5",$G5="U3/5a",$G5="U3/6",$G5="U3/7")),($I5+($J5+$K5)*0.6),0)</f>
        <v>0</v>
      </c>
      <c r="AK5">
        <f t="shared" si="2"/>
        <v>0</v>
      </c>
      <c r="AL5">
        <f aca="true" t="shared" si="22" ref="AL5:AL43">IF(AND(OR($F5="RE con CU",$F5="RE senza CU"),OR($G5="U6/1",$G5="U6/2")),($I5+($J5+$K5)*0.6),0)</f>
        <v>0</v>
      </c>
    </row>
    <row r="6" spans="1:38" ht="15" customHeight="1">
      <c r="A6" s="190"/>
      <c r="B6" s="263"/>
      <c r="C6" s="191"/>
      <c r="D6" s="191"/>
      <c r="E6" s="190"/>
      <c r="F6" s="190"/>
      <c r="G6" s="192"/>
      <c r="H6" s="198" t="str">
        <f>VLOOKUP(G:G,A62:B87,2,FALSE)</f>
        <v> </v>
      </c>
      <c r="I6" s="254"/>
      <c r="J6" s="254"/>
      <c r="K6" s="254"/>
      <c r="L6" s="148">
        <f t="shared" si="0"/>
        <v>0</v>
      </c>
      <c r="M6" s="255"/>
      <c r="O6" s="145">
        <f t="shared" si="3"/>
        <v>0</v>
      </c>
      <c r="P6" s="145">
        <f t="shared" si="4"/>
        <v>0</v>
      </c>
      <c r="Q6" s="145">
        <f t="shared" si="5"/>
        <v>0</v>
      </c>
      <c r="R6" s="145">
        <f t="shared" si="6"/>
        <v>0</v>
      </c>
      <c r="S6" s="145">
        <f t="shared" si="7"/>
        <v>0</v>
      </c>
      <c r="T6" s="145">
        <f t="shared" si="8"/>
        <v>0</v>
      </c>
      <c r="U6" s="145">
        <f t="shared" si="9"/>
        <v>0</v>
      </c>
      <c r="V6" s="145">
        <f t="shared" si="10"/>
        <v>0</v>
      </c>
      <c r="W6" s="145">
        <f t="shared" si="11"/>
        <v>0</v>
      </c>
      <c r="Y6">
        <f t="shared" si="12"/>
        <v>0</v>
      </c>
      <c r="Z6">
        <f t="shared" si="13"/>
        <v>0</v>
      </c>
      <c r="AA6">
        <f t="shared" si="1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>
        <f t="shared" si="18"/>
        <v>0</v>
      </c>
      <c r="AG6">
        <f t="shared" si="19"/>
        <v>0</v>
      </c>
      <c r="AI6">
        <f t="shared" si="20"/>
        <v>0</v>
      </c>
      <c r="AJ6">
        <f t="shared" si="21"/>
        <v>0</v>
      </c>
      <c r="AK6">
        <f t="shared" si="2"/>
        <v>0</v>
      </c>
      <c r="AL6">
        <f t="shared" si="22"/>
        <v>0</v>
      </c>
    </row>
    <row r="7" spans="1:38" ht="15" customHeight="1">
      <c r="A7" s="190"/>
      <c r="B7" s="263"/>
      <c r="C7" s="191"/>
      <c r="D7" s="191"/>
      <c r="E7" s="190"/>
      <c r="F7" s="190"/>
      <c r="G7" s="192"/>
      <c r="H7" s="198" t="str">
        <f>VLOOKUP(G:G,A62:B87,2,FALSE)</f>
        <v> </v>
      </c>
      <c r="I7" s="254"/>
      <c r="J7" s="254"/>
      <c r="K7" s="254"/>
      <c r="L7" s="148">
        <f t="shared" si="0"/>
        <v>0</v>
      </c>
      <c r="M7" s="255"/>
      <c r="O7" s="145">
        <f t="shared" si="3"/>
        <v>0</v>
      </c>
      <c r="P7" s="145">
        <f t="shared" si="4"/>
        <v>0</v>
      </c>
      <c r="Q7" s="145">
        <f t="shared" si="5"/>
        <v>0</v>
      </c>
      <c r="R7" s="145">
        <f t="shared" si="6"/>
        <v>0</v>
      </c>
      <c r="S7" s="145">
        <f t="shared" si="7"/>
        <v>0</v>
      </c>
      <c r="T7" s="145">
        <f t="shared" si="8"/>
        <v>0</v>
      </c>
      <c r="U7" s="145">
        <f t="shared" si="9"/>
        <v>0</v>
      </c>
      <c r="V7" s="145">
        <f t="shared" si="10"/>
        <v>0</v>
      </c>
      <c r="W7" s="145">
        <f t="shared" si="11"/>
        <v>0</v>
      </c>
      <c r="Y7">
        <f t="shared" si="12"/>
        <v>0</v>
      </c>
      <c r="Z7">
        <f t="shared" si="13"/>
        <v>0</v>
      </c>
      <c r="AA7">
        <f t="shared" si="1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>
        <f t="shared" si="18"/>
        <v>0</v>
      </c>
      <c r="AG7">
        <f t="shared" si="19"/>
        <v>0</v>
      </c>
      <c r="AI7">
        <f t="shared" si="20"/>
        <v>0</v>
      </c>
      <c r="AJ7">
        <f t="shared" si="21"/>
        <v>0</v>
      </c>
      <c r="AK7">
        <f t="shared" si="2"/>
        <v>0</v>
      </c>
      <c r="AL7">
        <f t="shared" si="22"/>
        <v>0</v>
      </c>
    </row>
    <row r="8" spans="1:38" ht="15" customHeight="1">
      <c r="A8" s="190"/>
      <c r="B8" s="263"/>
      <c r="C8" s="191"/>
      <c r="D8" s="191"/>
      <c r="E8" s="190"/>
      <c r="F8" s="190"/>
      <c r="G8" s="192"/>
      <c r="H8" s="198" t="str">
        <f>VLOOKUP(G:G,A62:B87,2,FALSE)</f>
        <v> </v>
      </c>
      <c r="I8" s="254"/>
      <c r="J8" s="254"/>
      <c r="K8" s="254"/>
      <c r="L8" s="148">
        <f t="shared" si="0"/>
        <v>0</v>
      </c>
      <c r="M8" s="255"/>
      <c r="O8" s="145">
        <f t="shared" si="3"/>
        <v>0</v>
      </c>
      <c r="P8" s="145">
        <f t="shared" si="4"/>
        <v>0</v>
      </c>
      <c r="Q8" s="145">
        <f t="shared" si="5"/>
        <v>0</v>
      </c>
      <c r="R8" s="145">
        <f t="shared" si="6"/>
        <v>0</v>
      </c>
      <c r="S8" s="145">
        <f t="shared" si="7"/>
        <v>0</v>
      </c>
      <c r="T8" s="145">
        <f t="shared" si="8"/>
        <v>0</v>
      </c>
      <c r="U8" s="145">
        <f t="shared" si="9"/>
        <v>0</v>
      </c>
      <c r="V8" s="145">
        <f t="shared" si="10"/>
        <v>0</v>
      </c>
      <c r="W8" s="145">
        <f t="shared" si="11"/>
        <v>0</v>
      </c>
      <c r="Y8">
        <f t="shared" si="12"/>
        <v>0</v>
      </c>
      <c r="Z8">
        <f t="shared" si="13"/>
        <v>0</v>
      </c>
      <c r="AA8">
        <f t="shared" si="1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>
        <f t="shared" si="18"/>
        <v>0</v>
      </c>
      <c r="AG8">
        <f t="shared" si="19"/>
        <v>0</v>
      </c>
      <c r="AI8">
        <f t="shared" si="20"/>
        <v>0</v>
      </c>
      <c r="AJ8">
        <f t="shared" si="21"/>
        <v>0</v>
      </c>
      <c r="AK8">
        <f t="shared" si="2"/>
        <v>0</v>
      </c>
      <c r="AL8">
        <f t="shared" si="22"/>
        <v>0</v>
      </c>
    </row>
    <row r="9" spans="1:38" ht="15" customHeight="1">
      <c r="A9" s="190"/>
      <c r="B9" s="263"/>
      <c r="C9" s="191"/>
      <c r="D9" s="191"/>
      <c r="E9" s="190"/>
      <c r="F9" s="190"/>
      <c r="G9" s="192"/>
      <c r="H9" s="198" t="str">
        <f>VLOOKUP(G:G,A62:B87,2,FALSE)</f>
        <v> </v>
      </c>
      <c r="I9" s="254"/>
      <c r="J9" s="254"/>
      <c r="K9" s="254"/>
      <c r="L9" s="148">
        <f t="shared" si="0"/>
        <v>0</v>
      </c>
      <c r="M9" s="255"/>
      <c r="O9" s="145">
        <f t="shared" si="3"/>
        <v>0</v>
      </c>
      <c r="P9" s="145">
        <f t="shared" si="4"/>
        <v>0</v>
      </c>
      <c r="Q9" s="145">
        <f t="shared" si="5"/>
        <v>0</v>
      </c>
      <c r="R9" s="145">
        <f t="shared" si="6"/>
        <v>0</v>
      </c>
      <c r="S9" s="145">
        <f t="shared" si="7"/>
        <v>0</v>
      </c>
      <c r="T9" s="145">
        <f t="shared" si="8"/>
        <v>0</v>
      </c>
      <c r="U9" s="145">
        <f t="shared" si="9"/>
        <v>0</v>
      </c>
      <c r="V9" s="145">
        <f t="shared" si="10"/>
        <v>0</v>
      </c>
      <c r="W9" s="145">
        <f t="shared" si="11"/>
        <v>0</v>
      </c>
      <c r="Y9">
        <f t="shared" si="12"/>
        <v>0</v>
      </c>
      <c r="Z9">
        <f t="shared" si="13"/>
        <v>0</v>
      </c>
      <c r="AA9">
        <f t="shared" si="1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>
        <f t="shared" si="18"/>
        <v>0</v>
      </c>
      <c r="AG9">
        <f t="shared" si="19"/>
        <v>0</v>
      </c>
      <c r="AI9">
        <f t="shared" si="20"/>
        <v>0</v>
      </c>
      <c r="AJ9">
        <f t="shared" si="21"/>
        <v>0</v>
      </c>
      <c r="AK9">
        <f t="shared" si="2"/>
        <v>0</v>
      </c>
      <c r="AL9">
        <f t="shared" si="22"/>
        <v>0</v>
      </c>
    </row>
    <row r="10" spans="1:38" ht="15" customHeight="1">
      <c r="A10" s="190"/>
      <c r="B10" s="263"/>
      <c r="C10" s="191"/>
      <c r="D10" s="191"/>
      <c r="E10" s="190"/>
      <c r="F10" s="190"/>
      <c r="G10" s="192"/>
      <c r="H10" s="198" t="str">
        <f>VLOOKUP(G:G,A62:B87,2,FALSE)</f>
        <v> </v>
      </c>
      <c r="I10" s="254"/>
      <c r="J10" s="254"/>
      <c r="K10" s="254"/>
      <c r="L10" s="148">
        <f t="shared" si="0"/>
        <v>0</v>
      </c>
      <c r="M10" s="255"/>
      <c r="O10" s="145">
        <f>IF(AND($F10="NC",OR($G10="U1/1",$G10="U1/2"),$I10&lt;=95),$I10,0)</f>
        <v>0</v>
      </c>
      <c r="P10" s="145">
        <f t="shared" si="4"/>
        <v>0</v>
      </c>
      <c r="Q10" s="145">
        <f t="shared" si="5"/>
        <v>0</v>
      </c>
      <c r="R10" s="145">
        <f t="shared" si="6"/>
        <v>0</v>
      </c>
      <c r="S10" s="145">
        <f t="shared" si="7"/>
        <v>0</v>
      </c>
      <c r="T10" s="145">
        <f t="shared" si="8"/>
        <v>0</v>
      </c>
      <c r="U10" s="145">
        <f t="shared" si="9"/>
        <v>0</v>
      </c>
      <c r="V10" s="145">
        <f t="shared" si="10"/>
        <v>0</v>
      </c>
      <c r="W10" s="145">
        <f t="shared" si="11"/>
        <v>0</v>
      </c>
      <c r="Y10">
        <f t="shared" si="12"/>
        <v>0</v>
      </c>
      <c r="Z10">
        <f t="shared" si="13"/>
        <v>0</v>
      </c>
      <c r="AA10">
        <f t="shared" si="1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>
        <f t="shared" si="18"/>
        <v>0</v>
      </c>
      <c r="AG10">
        <f t="shared" si="19"/>
        <v>0</v>
      </c>
      <c r="AI10">
        <f t="shared" si="20"/>
        <v>0</v>
      </c>
      <c r="AJ10">
        <f t="shared" si="21"/>
        <v>0</v>
      </c>
      <c r="AK10">
        <f t="shared" si="2"/>
        <v>0</v>
      </c>
      <c r="AL10">
        <f t="shared" si="22"/>
        <v>0</v>
      </c>
    </row>
    <row r="11" spans="1:38" ht="15" customHeight="1">
      <c r="A11" s="190"/>
      <c r="B11" s="263"/>
      <c r="C11" s="191"/>
      <c r="D11" s="191"/>
      <c r="E11" s="190"/>
      <c r="F11" s="190"/>
      <c r="G11" s="192"/>
      <c r="H11" s="198" t="str">
        <f>VLOOKUP(G:G,A62:B87,2,FALSE)</f>
        <v> </v>
      </c>
      <c r="I11" s="254"/>
      <c r="J11" s="254"/>
      <c r="K11" s="254"/>
      <c r="L11" s="148">
        <f t="shared" si="0"/>
        <v>0</v>
      </c>
      <c r="M11" s="255"/>
      <c r="O11" s="145">
        <f t="shared" si="3"/>
        <v>0</v>
      </c>
      <c r="P11" s="145">
        <f t="shared" si="4"/>
        <v>0</v>
      </c>
      <c r="Q11" s="145">
        <f t="shared" si="5"/>
        <v>0</v>
      </c>
      <c r="R11" s="145">
        <f t="shared" si="6"/>
        <v>0</v>
      </c>
      <c r="S11" s="145">
        <f t="shared" si="7"/>
        <v>0</v>
      </c>
      <c r="T11" s="145">
        <f t="shared" si="8"/>
        <v>0</v>
      </c>
      <c r="U11" s="145">
        <f t="shared" si="9"/>
        <v>0</v>
      </c>
      <c r="V11" s="145">
        <f t="shared" si="10"/>
        <v>0</v>
      </c>
      <c r="W11" s="145">
        <f t="shared" si="11"/>
        <v>0</v>
      </c>
      <c r="Y11">
        <f t="shared" si="12"/>
        <v>0</v>
      </c>
      <c r="Z11">
        <f t="shared" si="13"/>
        <v>0</v>
      </c>
      <c r="AA11">
        <f t="shared" si="1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>
        <f t="shared" si="18"/>
        <v>0</v>
      </c>
      <c r="AG11">
        <f t="shared" si="19"/>
        <v>0</v>
      </c>
      <c r="AI11">
        <f t="shared" si="20"/>
        <v>0</v>
      </c>
      <c r="AJ11">
        <f t="shared" si="21"/>
        <v>0</v>
      </c>
      <c r="AK11">
        <f t="shared" si="2"/>
        <v>0</v>
      </c>
      <c r="AL11">
        <f t="shared" si="22"/>
        <v>0</v>
      </c>
    </row>
    <row r="12" spans="1:38" ht="15" customHeight="1">
      <c r="A12" s="190"/>
      <c r="B12" s="263"/>
      <c r="C12" s="191"/>
      <c r="D12" s="191"/>
      <c r="E12" s="190"/>
      <c r="F12" s="190"/>
      <c r="G12" s="192"/>
      <c r="H12" s="198" t="str">
        <f>VLOOKUP(G:G,A62:B87,2,FALSE)</f>
        <v> </v>
      </c>
      <c r="I12" s="254"/>
      <c r="J12" s="254"/>
      <c r="K12" s="254"/>
      <c r="L12" s="148">
        <f t="shared" si="0"/>
        <v>0</v>
      </c>
      <c r="M12" s="255"/>
      <c r="O12" s="145">
        <f t="shared" si="3"/>
        <v>0</v>
      </c>
      <c r="P12" s="145">
        <f t="shared" si="4"/>
        <v>0</v>
      </c>
      <c r="Q12" s="145">
        <f t="shared" si="5"/>
        <v>0</v>
      </c>
      <c r="R12" s="145">
        <f t="shared" si="6"/>
        <v>0</v>
      </c>
      <c r="S12" s="145">
        <f t="shared" si="7"/>
        <v>0</v>
      </c>
      <c r="T12" s="145">
        <f t="shared" si="8"/>
        <v>0</v>
      </c>
      <c r="U12" s="145">
        <f t="shared" si="9"/>
        <v>0</v>
      </c>
      <c r="V12" s="145">
        <f t="shared" si="10"/>
        <v>0</v>
      </c>
      <c r="W12" s="145">
        <f t="shared" si="11"/>
        <v>0</v>
      </c>
      <c r="Y12">
        <f t="shared" si="12"/>
        <v>0</v>
      </c>
      <c r="Z12">
        <f t="shared" si="13"/>
        <v>0</v>
      </c>
      <c r="AA12">
        <f t="shared" si="1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>
        <f t="shared" si="18"/>
        <v>0</v>
      </c>
      <c r="AG12">
        <f t="shared" si="19"/>
        <v>0</v>
      </c>
      <c r="AI12">
        <f t="shared" si="20"/>
        <v>0</v>
      </c>
      <c r="AJ12">
        <f t="shared" si="21"/>
        <v>0</v>
      </c>
      <c r="AK12">
        <f t="shared" si="2"/>
        <v>0</v>
      </c>
      <c r="AL12">
        <f t="shared" si="22"/>
        <v>0</v>
      </c>
    </row>
    <row r="13" spans="1:38" ht="15" customHeight="1">
      <c r="A13" s="190"/>
      <c r="B13" s="263"/>
      <c r="C13" s="191"/>
      <c r="D13" s="191"/>
      <c r="E13" s="190"/>
      <c r="F13" s="190"/>
      <c r="G13" s="192"/>
      <c r="H13" s="198" t="str">
        <f>VLOOKUP(G:G,A62:B87,2,FALSE)</f>
        <v> </v>
      </c>
      <c r="I13" s="254"/>
      <c r="J13" s="254"/>
      <c r="K13" s="254"/>
      <c r="L13" s="148">
        <f t="shared" si="0"/>
        <v>0</v>
      </c>
      <c r="M13" s="255"/>
      <c r="O13" s="145">
        <f t="shared" si="3"/>
        <v>0</v>
      </c>
      <c r="P13" s="145">
        <f t="shared" si="4"/>
        <v>0</v>
      </c>
      <c r="Q13" s="145">
        <f t="shared" si="5"/>
        <v>0</v>
      </c>
      <c r="R13" s="145">
        <f t="shared" si="6"/>
        <v>0</v>
      </c>
      <c r="S13" s="145">
        <f t="shared" si="7"/>
        <v>0</v>
      </c>
      <c r="T13" s="145">
        <f t="shared" si="8"/>
        <v>0</v>
      </c>
      <c r="U13" s="145">
        <f t="shared" si="9"/>
        <v>0</v>
      </c>
      <c r="V13" s="145">
        <f t="shared" si="10"/>
        <v>0</v>
      </c>
      <c r="W13" s="145">
        <f t="shared" si="11"/>
        <v>0</v>
      </c>
      <c r="Y13">
        <f t="shared" si="12"/>
        <v>0</v>
      </c>
      <c r="Z13">
        <f t="shared" si="13"/>
        <v>0</v>
      </c>
      <c r="AA13">
        <f t="shared" si="1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>
        <f t="shared" si="18"/>
        <v>0</v>
      </c>
      <c r="AG13">
        <f t="shared" si="19"/>
        <v>0</v>
      </c>
      <c r="AI13">
        <f t="shared" si="20"/>
        <v>0</v>
      </c>
      <c r="AJ13">
        <f t="shared" si="21"/>
        <v>0</v>
      </c>
      <c r="AK13">
        <f t="shared" si="2"/>
        <v>0</v>
      </c>
      <c r="AL13">
        <f t="shared" si="22"/>
        <v>0</v>
      </c>
    </row>
    <row r="14" spans="1:38" ht="15" customHeight="1">
      <c r="A14" s="190"/>
      <c r="B14" s="263"/>
      <c r="C14" s="191"/>
      <c r="D14" s="191"/>
      <c r="E14" s="190"/>
      <c r="F14" s="190"/>
      <c r="G14" s="192"/>
      <c r="H14" s="198" t="str">
        <f>VLOOKUP(G:G,A62:B87,2,FALSE)</f>
        <v> </v>
      </c>
      <c r="I14" s="254"/>
      <c r="J14" s="254"/>
      <c r="K14" s="254"/>
      <c r="L14" s="148">
        <f t="shared" si="0"/>
        <v>0</v>
      </c>
      <c r="M14" s="255"/>
      <c r="O14" s="145">
        <f t="shared" si="3"/>
        <v>0</v>
      </c>
      <c r="P14" s="145">
        <f t="shared" si="4"/>
        <v>0</v>
      </c>
      <c r="Q14" s="145">
        <f t="shared" si="5"/>
        <v>0</v>
      </c>
      <c r="R14" s="145">
        <f t="shared" si="6"/>
        <v>0</v>
      </c>
      <c r="S14" s="145">
        <f t="shared" si="7"/>
        <v>0</v>
      </c>
      <c r="T14" s="145">
        <f t="shared" si="8"/>
        <v>0</v>
      </c>
      <c r="U14" s="145">
        <f t="shared" si="9"/>
        <v>0</v>
      </c>
      <c r="V14" s="145">
        <f t="shared" si="10"/>
        <v>0</v>
      </c>
      <c r="W14" s="145">
        <f t="shared" si="11"/>
        <v>0</v>
      </c>
      <c r="Y14">
        <f t="shared" si="12"/>
        <v>0</v>
      </c>
      <c r="Z14">
        <f t="shared" si="13"/>
        <v>0</v>
      </c>
      <c r="AA14">
        <f t="shared" si="1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>
        <f t="shared" si="18"/>
        <v>0</v>
      </c>
      <c r="AG14">
        <f t="shared" si="19"/>
        <v>0</v>
      </c>
      <c r="AI14">
        <f t="shared" si="20"/>
        <v>0</v>
      </c>
      <c r="AJ14">
        <f t="shared" si="21"/>
        <v>0</v>
      </c>
      <c r="AK14">
        <f t="shared" si="2"/>
        <v>0</v>
      </c>
      <c r="AL14">
        <f t="shared" si="22"/>
        <v>0</v>
      </c>
    </row>
    <row r="15" spans="1:38" ht="15" customHeight="1">
      <c r="A15" s="190"/>
      <c r="B15" s="263"/>
      <c r="C15" s="191"/>
      <c r="D15" s="191"/>
      <c r="E15" s="190"/>
      <c r="F15" s="190"/>
      <c r="G15" s="192"/>
      <c r="H15" s="198" t="str">
        <f>VLOOKUP(G:G,A62:B87,2,FALSE)</f>
        <v> </v>
      </c>
      <c r="I15" s="254"/>
      <c r="J15" s="254"/>
      <c r="K15" s="254"/>
      <c r="L15" s="148">
        <f t="shared" si="0"/>
        <v>0</v>
      </c>
      <c r="M15" s="255"/>
      <c r="O15" s="145">
        <f t="shared" si="3"/>
        <v>0</v>
      </c>
      <c r="P15" s="145">
        <f t="shared" si="4"/>
        <v>0</v>
      </c>
      <c r="Q15" s="145">
        <f t="shared" si="5"/>
        <v>0</v>
      </c>
      <c r="R15" s="145">
        <f t="shared" si="6"/>
        <v>0</v>
      </c>
      <c r="S15" s="145">
        <f t="shared" si="7"/>
        <v>0</v>
      </c>
      <c r="T15" s="145">
        <f t="shared" si="8"/>
        <v>0</v>
      </c>
      <c r="U15" s="145">
        <f t="shared" si="9"/>
        <v>0</v>
      </c>
      <c r="V15" s="145">
        <f t="shared" si="10"/>
        <v>0</v>
      </c>
      <c r="W15" s="145">
        <f t="shared" si="11"/>
        <v>0</v>
      </c>
      <c r="Y15">
        <f t="shared" si="12"/>
        <v>0</v>
      </c>
      <c r="Z15">
        <f t="shared" si="13"/>
        <v>0</v>
      </c>
      <c r="AA15">
        <f t="shared" si="1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>
        <f t="shared" si="18"/>
        <v>0</v>
      </c>
      <c r="AG15">
        <f t="shared" si="19"/>
        <v>0</v>
      </c>
      <c r="AI15">
        <f t="shared" si="20"/>
        <v>0</v>
      </c>
      <c r="AJ15">
        <f t="shared" si="21"/>
        <v>0</v>
      </c>
      <c r="AK15">
        <f t="shared" si="2"/>
        <v>0</v>
      </c>
      <c r="AL15">
        <f t="shared" si="22"/>
        <v>0</v>
      </c>
    </row>
    <row r="16" spans="1:38" ht="15" customHeight="1">
      <c r="A16" s="190"/>
      <c r="B16" s="263"/>
      <c r="C16" s="191"/>
      <c r="D16" s="191"/>
      <c r="E16" s="190"/>
      <c r="F16" s="190"/>
      <c r="G16" s="192"/>
      <c r="H16" s="198" t="str">
        <f>VLOOKUP(G:G,A62:B87,2,FALSE)</f>
        <v> </v>
      </c>
      <c r="I16" s="254"/>
      <c r="J16" s="254"/>
      <c r="K16" s="254"/>
      <c r="L16" s="148">
        <f t="shared" si="0"/>
        <v>0</v>
      </c>
      <c r="M16" s="255"/>
      <c r="O16" s="145">
        <f t="shared" si="3"/>
        <v>0</v>
      </c>
      <c r="P16" s="145">
        <f t="shared" si="4"/>
        <v>0</v>
      </c>
      <c r="Q16" s="145">
        <f t="shared" si="5"/>
        <v>0</v>
      </c>
      <c r="R16" s="145">
        <f t="shared" si="6"/>
        <v>0</v>
      </c>
      <c r="S16" s="145">
        <f t="shared" si="7"/>
        <v>0</v>
      </c>
      <c r="T16" s="145">
        <f t="shared" si="8"/>
        <v>0</v>
      </c>
      <c r="U16" s="145">
        <f t="shared" si="9"/>
        <v>0</v>
      </c>
      <c r="V16" s="145">
        <f t="shared" si="10"/>
        <v>0</v>
      </c>
      <c r="W16" s="145">
        <f t="shared" si="11"/>
        <v>0</v>
      </c>
      <c r="Y16">
        <f t="shared" si="12"/>
        <v>0</v>
      </c>
      <c r="Z16">
        <f t="shared" si="13"/>
        <v>0</v>
      </c>
      <c r="AA16">
        <f t="shared" si="1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>
        <f t="shared" si="18"/>
        <v>0</v>
      </c>
      <c r="AG16">
        <f t="shared" si="19"/>
        <v>0</v>
      </c>
      <c r="AI16">
        <f t="shared" si="20"/>
        <v>0</v>
      </c>
      <c r="AJ16">
        <f t="shared" si="21"/>
        <v>0</v>
      </c>
      <c r="AK16">
        <f t="shared" si="2"/>
        <v>0</v>
      </c>
      <c r="AL16">
        <f t="shared" si="22"/>
        <v>0</v>
      </c>
    </row>
    <row r="17" spans="1:38" ht="15" customHeight="1">
      <c r="A17" s="190"/>
      <c r="B17" s="263"/>
      <c r="C17" s="191"/>
      <c r="D17" s="191"/>
      <c r="E17" s="190"/>
      <c r="F17" s="190"/>
      <c r="G17" s="192"/>
      <c r="H17" s="198" t="str">
        <f>VLOOKUP(G:G,A62:B87,2,FALSE)</f>
        <v> </v>
      </c>
      <c r="I17" s="254"/>
      <c r="J17" s="254"/>
      <c r="K17" s="254"/>
      <c r="L17" s="148">
        <f t="shared" si="0"/>
        <v>0</v>
      </c>
      <c r="M17" s="255"/>
      <c r="O17" s="145">
        <f t="shared" si="3"/>
        <v>0</v>
      </c>
      <c r="P17" s="145">
        <f t="shared" si="4"/>
        <v>0</v>
      </c>
      <c r="Q17" s="145">
        <f t="shared" si="5"/>
        <v>0</v>
      </c>
      <c r="R17" s="145">
        <f t="shared" si="6"/>
        <v>0</v>
      </c>
      <c r="S17" s="145">
        <f t="shared" si="7"/>
        <v>0</v>
      </c>
      <c r="T17" s="145">
        <f t="shared" si="8"/>
        <v>0</v>
      </c>
      <c r="U17" s="145">
        <f t="shared" si="9"/>
        <v>0</v>
      </c>
      <c r="V17" s="145">
        <f t="shared" si="10"/>
        <v>0</v>
      </c>
      <c r="W17" s="145">
        <f t="shared" si="11"/>
        <v>0</v>
      </c>
      <c r="Y17">
        <f t="shared" si="12"/>
        <v>0</v>
      </c>
      <c r="Z17">
        <f t="shared" si="13"/>
        <v>0</v>
      </c>
      <c r="AA17">
        <f t="shared" si="1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>
        <f t="shared" si="18"/>
        <v>0</v>
      </c>
      <c r="AG17">
        <f t="shared" si="19"/>
        <v>0</v>
      </c>
      <c r="AI17">
        <f t="shared" si="20"/>
        <v>0</v>
      </c>
      <c r="AJ17">
        <f t="shared" si="21"/>
        <v>0</v>
      </c>
      <c r="AK17">
        <f t="shared" si="2"/>
        <v>0</v>
      </c>
      <c r="AL17">
        <f t="shared" si="22"/>
        <v>0</v>
      </c>
    </row>
    <row r="18" spans="1:38" ht="15" customHeight="1">
      <c r="A18" s="190"/>
      <c r="B18" s="263"/>
      <c r="C18" s="191"/>
      <c r="D18" s="191"/>
      <c r="E18" s="190"/>
      <c r="F18" s="190"/>
      <c r="G18" s="192"/>
      <c r="H18" s="198" t="str">
        <f>VLOOKUP(G:G,A62:B87,2,FALSE)</f>
        <v> </v>
      </c>
      <c r="I18" s="254"/>
      <c r="J18" s="254"/>
      <c r="K18" s="254"/>
      <c r="L18" s="148">
        <f t="shared" si="0"/>
        <v>0</v>
      </c>
      <c r="M18" s="255"/>
      <c r="O18" s="145">
        <f t="shared" si="3"/>
        <v>0</v>
      </c>
      <c r="P18" s="145">
        <f t="shared" si="4"/>
        <v>0</v>
      </c>
      <c r="Q18" s="145">
        <f t="shared" si="5"/>
        <v>0</v>
      </c>
      <c r="R18" s="145">
        <f t="shared" si="6"/>
        <v>0</v>
      </c>
      <c r="S18" s="145">
        <f t="shared" si="7"/>
        <v>0</v>
      </c>
      <c r="T18" s="145">
        <f t="shared" si="8"/>
        <v>0</v>
      </c>
      <c r="U18" s="145">
        <f t="shared" si="9"/>
        <v>0</v>
      </c>
      <c r="V18" s="145">
        <f t="shared" si="10"/>
        <v>0</v>
      </c>
      <c r="W18" s="145">
        <f>IF(AND($F18="NC",OR($G18="U6/1",$G18="U6/2")),($I18+($J18+$K18)*0.6),0)</f>
        <v>0</v>
      </c>
      <c r="Y18">
        <f t="shared" si="12"/>
        <v>0</v>
      </c>
      <c r="Z18">
        <f t="shared" si="13"/>
        <v>0</v>
      </c>
      <c r="AA18">
        <f t="shared" si="1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>IF(OR($G18="U3/4",$G18="U4/1",$G18="U4/2",$G18="U4/3"),$M18,0)</f>
        <v>0</v>
      </c>
      <c r="AF18">
        <f>IF($G18="U2/5",$I18+($J18+$K18)*0.6,0)</f>
        <v>0</v>
      </c>
      <c r="AG18">
        <f>IF(OR($G18="U5/1",$G18="U5/2",$G18="U5/3",$G18="U5/4"),$M18,0)</f>
        <v>0</v>
      </c>
      <c r="AI18">
        <f t="shared" si="20"/>
        <v>0</v>
      </c>
      <c r="AJ18">
        <f t="shared" si="21"/>
        <v>0</v>
      </c>
      <c r="AK18">
        <f t="shared" si="2"/>
        <v>0</v>
      </c>
      <c r="AL18">
        <f t="shared" si="22"/>
        <v>0</v>
      </c>
    </row>
    <row r="19" spans="1:38" ht="15" customHeight="1">
      <c r="A19" s="190"/>
      <c r="B19" s="263"/>
      <c r="C19" s="191"/>
      <c r="D19" s="191"/>
      <c r="E19" s="190"/>
      <c r="F19" s="190"/>
      <c r="G19" s="192"/>
      <c r="H19" s="198" t="str">
        <f>VLOOKUP(G:G,A62:B87,2,FALSE)</f>
        <v> </v>
      </c>
      <c r="I19" s="254"/>
      <c r="J19" s="254"/>
      <c r="K19" s="254"/>
      <c r="L19" s="148">
        <f t="shared" si="0"/>
        <v>0</v>
      </c>
      <c r="M19" s="255"/>
      <c r="O19" s="145">
        <f t="shared" si="3"/>
        <v>0</v>
      </c>
      <c r="P19" s="145">
        <f t="shared" si="4"/>
        <v>0</v>
      </c>
      <c r="Q19" s="145">
        <f t="shared" si="5"/>
        <v>0</v>
      </c>
      <c r="R19" s="145">
        <f t="shared" si="6"/>
        <v>0</v>
      </c>
      <c r="S19" s="145">
        <f t="shared" si="7"/>
        <v>0</v>
      </c>
      <c r="T19" s="145">
        <f t="shared" si="8"/>
        <v>0</v>
      </c>
      <c r="U19" s="145">
        <f t="shared" si="9"/>
        <v>0</v>
      </c>
      <c r="V19" s="145">
        <f t="shared" si="10"/>
        <v>0</v>
      </c>
      <c r="W19" s="145">
        <f t="shared" si="11"/>
        <v>0</v>
      </c>
      <c r="Y19">
        <f t="shared" si="12"/>
        <v>0</v>
      </c>
      <c r="Z19">
        <f t="shared" si="13"/>
        <v>0</v>
      </c>
      <c r="AA19">
        <f t="shared" si="1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>IF(OR($G19="U3/4",$G19="U4/1",$G19="U4/2",$G19="U4/3"),$M19,0)</f>
        <v>0</v>
      </c>
      <c r="AF19">
        <f>IF($G19="U2/5",$I19+($J19+$K19)*0.6,0)</f>
        <v>0</v>
      </c>
      <c r="AG19">
        <f>IF(OR($G19="U5/1",$G19="U5/2",$G19="U5/3",$G19="U5/4"),$M19,0)</f>
        <v>0</v>
      </c>
      <c r="AI19">
        <f t="shared" si="20"/>
        <v>0</v>
      </c>
      <c r="AJ19">
        <f t="shared" si="21"/>
        <v>0</v>
      </c>
      <c r="AK19">
        <f t="shared" si="2"/>
        <v>0</v>
      </c>
      <c r="AL19">
        <f t="shared" si="22"/>
        <v>0</v>
      </c>
    </row>
    <row r="20" spans="1:38" ht="15" customHeight="1">
      <c r="A20" s="190"/>
      <c r="B20" s="263"/>
      <c r="C20" s="191"/>
      <c r="D20" s="191"/>
      <c r="E20" s="190"/>
      <c r="F20" s="190"/>
      <c r="G20" s="192"/>
      <c r="H20" s="198" t="str">
        <f>VLOOKUP(G:G,A62:B87,2,FALSE)</f>
        <v> </v>
      </c>
      <c r="I20" s="254"/>
      <c r="J20" s="254"/>
      <c r="K20" s="254"/>
      <c r="L20" s="148">
        <f t="shared" si="0"/>
        <v>0</v>
      </c>
      <c r="M20" s="255"/>
      <c r="O20" s="145">
        <f t="shared" si="3"/>
        <v>0</v>
      </c>
      <c r="P20" s="145">
        <f t="shared" si="4"/>
        <v>0</v>
      </c>
      <c r="Q20" s="145">
        <f t="shared" si="5"/>
        <v>0</v>
      </c>
      <c r="R20" s="145">
        <f t="shared" si="6"/>
        <v>0</v>
      </c>
      <c r="S20" s="145">
        <f t="shared" si="7"/>
        <v>0</v>
      </c>
      <c r="T20" s="145">
        <f t="shared" si="8"/>
        <v>0</v>
      </c>
      <c r="U20" s="145">
        <f t="shared" si="9"/>
        <v>0</v>
      </c>
      <c r="V20" s="145">
        <f t="shared" si="10"/>
        <v>0</v>
      </c>
      <c r="W20" s="145">
        <f t="shared" si="11"/>
        <v>0</v>
      </c>
      <c r="Y20">
        <f t="shared" si="12"/>
        <v>0</v>
      </c>
      <c r="Z20">
        <f t="shared" si="13"/>
        <v>0</v>
      </c>
      <c r="AA20">
        <f t="shared" si="1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aca="true" t="shared" si="23" ref="AE20:AE39">IF(OR($G20="U3/4",$G20="U4/1",$G20="U4/2",$G20="U4/3"),$M20,0)</f>
        <v>0</v>
      </c>
      <c r="AF20">
        <f aca="true" t="shared" si="24" ref="AF20:AF39">IF($G20="U2/5",$I20+($J20+$K20)*0.6,0)</f>
        <v>0</v>
      </c>
      <c r="AG20">
        <f aca="true" t="shared" si="25" ref="AG20:AG39">IF(OR($G20="U5/1",$G20="U5/2",$G20="U5/3",$G20="U5/4"),$M20,0)</f>
        <v>0</v>
      </c>
      <c r="AI20">
        <f t="shared" si="20"/>
        <v>0</v>
      </c>
      <c r="AJ20">
        <f t="shared" si="21"/>
        <v>0</v>
      </c>
      <c r="AK20">
        <f t="shared" si="2"/>
        <v>0</v>
      </c>
      <c r="AL20">
        <f t="shared" si="22"/>
        <v>0</v>
      </c>
    </row>
    <row r="21" spans="1:38" ht="15" customHeight="1">
      <c r="A21" s="190"/>
      <c r="B21" s="263"/>
      <c r="C21" s="191"/>
      <c r="D21" s="191"/>
      <c r="E21" s="190"/>
      <c r="F21" s="190"/>
      <c r="G21" s="192"/>
      <c r="H21" s="198" t="str">
        <f>VLOOKUP(G:G,A62:B87,2,FALSE)</f>
        <v> </v>
      </c>
      <c r="I21" s="254"/>
      <c r="J21" s="254"/>
      <c r="K21" s="254"/>
      <c r="L21" s="148">
        <f t="shared" si="0"/>
        <v>0</v>
      </c>
      <c r="M21" s="255"/>
      <c r="O21" s="145">
        <f t="shared" si="3"/>
        <v>0</v>
      </c>
      <c r="P21" s="145">
        <f t="shared" si="4"/>
        <v>0</v>
      </c>
      <c r="Q21" s="145">
        <f t="shared" si="5"/>
        <v>0</v>
      </c>
      <c r="R21" s="145">
        <f t="shared" si="6"/>
        <v>0</v>
      </c>
      <c r="S21" s="145">
        <f t="shared" si="7"/>
        <v>0</v>
      </c>
      <c r="T21" s="145">
        <f t="shared" si="8"/>
        <v>0</v>
      </c>
      <c r="U21" s="145">
        <f t="shared" si="9"/>
        <v>0</v>
      </c>
      <c r="V21" s="145">
        <f t="shared" si="10"/>
        <v>0</v>
      </c>
      <c r="W21" s="145">
        <f t="shared" si="11"/>
        <v>0</v>
      </c>
      <c r="Y21">
        <f t="shared" si="12"/>
        <v>0</v>
      </c>
      <c r="Z21">
        <f t="shared" si="13"/>
        <v>0</v>
      </c>
      <c r="AA21">
        <f t="shared" si="1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23"/>
        <v>0</v>
      </c>
      <c r="AF21">
        <f t="shared" si="24"/>
        <v>0</v>
      </c>
      <c r="AG21">
        <f t="shared" si="25"/>
        <v>0</v>
      </c>
      <c r="AI21">
        <f t="shared" si="20"/>
        <v>0</v>
      </c>
      <c r="AJ21">
        <f t="shared" si="21"/>
        <v>0</v>
      </c>
      <c r="AK21">
        <f t="shared" si="2"/>
        <v>0</v>
      </c>
      <c r="AL21">
        <f t="shared" si="22"/>
        <v>0</v>
      </c>
    </row>
    <row r="22" spans="1:38" ht="15" customHeight="1">
      <c r="A22" s="190"/>
      <c r="B22" s="263"/>
      <c r="C22" s="191"/>
      <c r="D22" s="191"/>
      <c r="E22" s="190"/>
      <c r="F22" s="190"/>
      <c r="G22" s="192"/>
      <c r="H22" s="198" t="str">
        <f>VLOOKUP(G:G,A62:B87,2,FALSE)</f>
        <v> </v>
      </c>
      <c r="I22" s="254"/>
      <c r="J22" s="254"/>
      <c r="K22" s="254"/>
      <c r="L22" s="148">
        <f t="shared" si="0"/>
        <v>0</v>
      </c>
      <c r="M22" s="255"/>
      <c r="O22" s="145">
        <f t="shared" si="3"/>
        <v>0</v>
      </c>
      <c r="P22" s="145">
        <f t="shared" si="4"/>
        <v>0</v>
      </c>
      <c r="Q22" s="145">
        <f t="shared" si="5"/>
        <v>0</v>
      </c>
      <c r="R22" s="145">
        <f t="shared" si="6"/>
        <v>0</v>
      </c>
      <c r="S22" s="145">
        <f t="shared" si="7"/>
        <v>0</v>
      </c>
      <c r="T22" s="145">
        <f t="shared" si="8"/>
        <v>0</v>
      </c>
      <c r="U22" s="145">
        <f t="shared" si="9"/>
        <v>0</v>
      </c>
      <c r="V22" s="145">
        <f t="shared" si="10"/>
        <v>0</v>
      </c>
      <c r="W22" s="145">
        <f t="shared" si="11"/>
        <v>0</v>
      </c>
      <c r="Y22">
        <f t="shared" si="12"/>
        <v>0</v>
      </c>
      <c r="Z22">
        <f t="shared" si="13"/>
        <v>0</v>
      </c>
      <c r="AA22">
        <f t="shared" si="1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23"/>
        <v>0</v>
      </c>
      <c r="AF22">
        <f t="shared" si="24"/>
        <v>0</v>
      </c>
      <c r="AG22">
        <f t="shared" si="25"/>
        <v>0</v>
      </c>
      <c r="AI22">
        <f t="shared" si="20"/>
        <v>0</v>
      </c>
      <c r="AJ22">
        <f t="shared" si="21"/>
        <v>0</v>
      </c>
      <c r="AK22">
        <f t="shared" si="2"/>
        <v>0</v>
      </c>
      <c r="AL22">
        <f t="shared" si="22"/>
        <v>0</v>
      </c>
    </row>
    <row r="23" spans="1:38" ht="15" customHeight="1">
      <c r="A23" s="190"/>
      <c r="B23" s="263"/>
      <c r="C23" s="191"/>
      <c r="D23" s="191"/>
      <c r="E23" s="190"/>
      <c r="F23" s="190"/>
      <c r="G23" s="192"/>
      <c r="H23" s="198" t="str">
        <f>VLOOKUP(G:G,A62:B87,2,FALSE)</f>
        <v> </v>
      </c>
      <c r="I23" s="254"/>
      <c r="J23" s="254"/>
      <c r="K23" s="254"/>
      <c r="L23" s="148">
        <f t="shared" si="0"/>
        <v>0</v>
      </c>
      <c r="M23" s="255"/>
      <c r="O23" s="145">
        <f t="shared" si="3"/>
        <v>0</v>
      </c>
      <c r="P23" s="145">
        <f t="shared" si="4"/>
        <v>0</v>
      </c>
      <c r="Q23" s="145">
        <f t="shared" si="5"/>
        <v>0</v>
      </c>
      <c r="R23" s="145">
        <f t="shared" si="6"/>
        <v>0</v>
      </c>
      <c r="S23" s="145">
        <f t="shared" si="7"/>
        <v>0</v>
      </c>
      <c r="T23" s="145">
        <f t="shared" si="8"/>
        <v>0</v>
      </c>
      <c r="U23" s="145">
        <f t="shared" si="9"/>
        <v>0</v>
      </c>
      <c r="V23" s="145">
        <f t="shared" si="10"/>
        <v>0</v>
      </c>
      <c r="W23" s="145">
        <f t="shared" si="11"/>
        <v>0</v>
      </c>
      <c r="Y23">
        <f t="shared" si="12"/>
        <v>0</v>
      </c>
      <c r="Z23">
        <f t="shared" si="13"/>
        <v>0</v>
      </c>
      <c r="AA23">
        <f t="shared" si="1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23"/>
        <v>0</v>
      </c>
      <c r="AF23">
        <f t="shared" si="24"/>
        <v>0</v>
      </c>
      <c r="AG23">
        <f t="shared" si="25"/>
        <v>0</v>
      </c>
      <c r="AI23">
        <f t="shared" si="20"/>
        <v>0</v>
      </c>
      <c r="AJ23">
        <f t="shared" si="21"/>
        <v>0</v>
      </c>
      <c r="AK23">
        <f t="shared" si="2"/>
        <v>0</v>
      </c>
      <c r="AL23">
        <f t="shared" si="22"/>
        <v>0</v>
      </c>
    </row>
    <row r="24" spans="1:38" ht="15" customHeight="1">
      <c r="A24" s="190"/>
      <c r="B24" s="263"/>
      <c r="C24" s="191"/>
      <c r="D24" s="191"/>
      <c r="E24" s="190"/>
      <c r="F24" s="190"/>
      <c r="G24" s="192"/>
      <c r="H24" s="198" t="str">
        <f>VLOOKUP(G:G,A62:B87,2,FALSE)</f>
        <v> </v>
      </c>
      <c r="I24" s="254"/>
      <c r="J24" s="254"/>
      <c r="K24" s="254"/>
      <c r="L24" s="148">
        <f t="shared" si="0"/>
        <v>0</v>
      </c>
      <c r="M24" s="255"/>
      <c r="O24" s="145">
        <f t="shared" si="3"/>
        <v>0</v>
      </c>
      <c r="P24" s="145">
        <f t="shared" si="4"/>
        <v>0</v>
      </c>
      <c r="Q24" s="145">
        <f t="shared" si="5"/>
        <v>0</v>
      </c>
      <c r="R24" s="145">
        <f t="shared" si="6"/>
        <v>0</v>
      </c>
      <c r="S24" s="145">
        <f t="shared" si="7"/>
        <v>0</v>
      </c>
      <c r="T24" s="145">
        <f t="shared" si="8"/>
        <v>0</v>
      </c>
      <c r="U24" s="145">
        <f t="shared" si="9"/>
        <v>0</v>
      </c>
      <c r="V24" s="145">
        <f t="shared" si="10"/>
        <v>0</v>
      </c>
      <c r="W24" s="145">
        <f t="shared" si="11"/>
        <v>0</v>
      </c>
      <c r="Y24">
        <f t="shared" si="12"/>
        <v>0</v>
      </c>
      <c r="Z24">
        <f t="shared" si="13"/>
        <v>0</v>
      </c>
      <c r="AA24">
        <f t="shared" si="1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23"/>
        <v>0</v>
      </c>
      <c r="AF24">
        <f t="shared" si="24"/>
        <v>0</v>
      </c>
      <c r="AG24">
        <f t="shared" si="25"/>
        <v>0</v>
      </c>
      <c r="AI24">
        <f t="shared" si="20"/>
        <v>0</v>
      </c>
      <c r="AJ24">
        <f t="shared" si="21"/>
        <v>0</v>
      </c>
      <c r="AK24">
        <f t="shared" si="2"/>
        <v>0</v>
      </c>
      <c r="AL24">
        <f t="shared" si="22"/>
        <v>0</v>
      </c>
    </row>
    <row r="25" spans="1:38" ht="15" customHeight="1">
      <c r="A25" s="190"/>
      <c r="B25" s="263"/>
      <c r="C25" s="191"/>
      <c r="D25" s="191"/>
      <c r="E25" s="190"/>
      <c r="F25" s="190"/>
      <c r="G25" s="192"/>
      <c r="H25" s="198" t="str">
        <f>VLOOKUP(G:G,A62:B87,2,FALSE)</f>
        <v> </v>
      </c>
      <c r="I25" s="254"/>
      <c r="J25" s="254"/>
      <c r="K25" s="254"/>
      <c r="L25" s="148">
        <f t="shared" si="0"/>
        <v>0</v>
      </c>
      <c r="M25" s="255"/>
      <c r="O25" s="145">
        <f t="shared" si="3"/>
        <v>0</v>
      </c>
      <c r="P25" s="145">
        <f t="shared" si="4"/>
        <v>0</v>
      </c>
      <c r="Q25" s="145">
        <f t="shared" si="5"/>
        <v>0</v>
      </c>
      <c r="R25" s="145">
        <f t="shared" si="6"/>
        <v>0</v>
      </c>
      <c r="S25" s="145">
        <f t="shared" si="7"/>
        <v>0</v>
      </c>
      <c r="T25" s="145">
        <f t="shared" si="8"/>
        <v>0</v>
      </c>
      <c r="U25" s="145">
        <f t="shared" si="9"/>
        <v>0</v>
      </c>
      <c r="V25" s="145">
        <f t="shared" si="10"/>
        <v>0</v>
      </c>
      <c r="W25" s="145">
        <f t="shared" si="11"/>
        <v>0</v>
      </c>
      <c r="Y25">
        <f t="shared" si="12"/>
        <v>0</v>
      </c>
      <c r="Z25">
        <f t="shared" si="13"/>
        <v>0</v>
      </c>
      <c r="AA25">
        <f t="shared" si="1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23"/>
        <v>0</v>
      </c>
      <c r="AF25">
        <f t="shared" si="24"/>
        <v>0</v>
      </c>
      <c r="AG25">
        <f t="shared" si="25"/>
        <v>0</v>
      </c>
      <c r="AI25">
        <f>IF(AND(OR($F25="RE con CU",$F25="RE senza CU"),OR($G25="U2/4",$G25="U2/6",$G25="U3/1")),($I25+($J25+$K25)*0.6),0)</f>
        <v>0</v>
      </c>
      <c r="AJ25">
        <f t="shared" si="21"/>
        <v>0</v>
      </c>
      <c r="AK25">
        <f t="shared" si="2"/>
        <v>0</v>
      </c>
      <c r="AL25">
        <f t="shared" si="22"/>
        <v>0</v>
      </c>
    </row>
    <row r="26" spans="1:38" ht="15" customHeight="1">
      <c r="A26" s="190"/>
      <c r="B26" s="263"/>
      <c r="C26" s="191"/>
      <c r="D26" s="191"/>
      <c r="E26" s="190"/>
      <c r="F26" s="190"/>
      <c r="G26" s="192"/>
      <c r="H26" s="198" t="str">
        <f>VLOOKUP(G:G,A62:B87,2,FALSE)</f>
        <v> </v>
      </c>
      <c r="I26" s="254"/>
      <c r="J26" s="254"/>
      <c r="K26" s="254"/>
      <c r="L26" s="148">
        <f t="shared" si="0"/>
        <v>0</v>
      </c>
      <c r="M26" s="255"/>
      <c r="O26" s="145">
        <f t="shared" si="3"/>
        <v>0</v>
      </c>
      <c r="P26" s="145">
        <f t="shared" si="4"/>
        <v>0</v>
      </c>
      <c r="Q26" s="145">
        <f t="shared" si="5"/>
        <v>0</v>
      </c>
      <c r="R26" s="145">
        <f t="shared" si="6"/>
        <v>0</v>
      </c>
      <c r="S26" s="145">
        <f t="shared" si="7"/>
        <v>0</v>
      </c>
      <c r="T26" s="145">
        <f t="shared" si="8"/>
        <v>0</v>
      </c>
      <c r="U26" s="145">
        <f t="shared" si="9"/>
        <v>0</v>
      </c>
      <c r="V26" s="145">
        <f t="shared" si="10"/>
        <v>0</v>
      </c>
      <c r="W26" s="145">
        <f t="shared" si="11"/>
        <v>0</v>
      </c>
      <c r="Y26">
        <f t="shared" si="12"/>
        <v>0</v>
      </c>
      <c r="Z26">
        <f t="shared" si="13"/>
        <v>0</v>
      </c>
      <c r="AA26">
        <f t="shared" si="1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23"/>
        <v>0</v>
      </c>
      <c r="AF26">
        <f t="shared" si="24"/>
        <v>0</v>
      </c>
      <c r="AG26">
        <f t="shared" si="25"/>
        <v>0</v>
      </c>
      <c r="AI26">
        <f t="shared" si="20"/>
        <v>0</v>
      </c>
      <c r="AJ26">
        <f t="shared" si="21"/>
        <v>0</v>
      </c>
      <c r="AK26">
        <f t="shared" si="2"/>
        <v>0</v>
      </c>
      <c r="AL26">
        <f t="shared" si="22"/>
        <v>0</v>
      </c>
    </row>
    <row r="27" spans="1:38" ht="15" customHeight="1">
      <c r="A27" s="190"/>
      <c r="B27" s="263"/>
      <c r="C27" s="191"/>
      <c r="D27" s="191"/>
      <c r="E27" s="190"/>
      <c r="F27" s="190"/>
      <c r="G27" s="192"/>
      <c r="H27" s="198" t="str">
        <f>VLOOKUP(G:G,A62:B87,2,FALSE)</f>
        <v> </v>
      </c>
      <c r="I27" s="254"/>
      <c r="J27" s="254"/>
      <c r="K27" s="254"/>
      <c r="L27" s="148">
        <f t="shared" si="0"/>
        <v>0</v>
      </c>
      <c r="M27" s="255"/>
      <c r="O27" s="145">
        <f t="shared" si="3"/>
        <v>0</v>
      </c>
      <c r="P27" s="145">
        <f t="shared" si="4"/>
        <v>0</v>
      </c>
      <c r="Q27" s="145">
        <f t="shared" si="5"/>
        <v>0</v>
      </c>
      <c r="R27" s="145">
        <f t="shared" si="6"/>
        <v>0</v>
      </c>
      <c r="S27" s="145">
        <f t="shared" si="7"/>
        <v>0</v>
      </c>
      <c r="T27" s="145">
        <f t="shared" si="8"/>
        <v>0</v>
      </c>
      <c r="U27" s="145">
        <f t="shared" si="9"/>
        <v>0</v>
      </c>
      <c r="V27" s="145">
        <f t="shared" si="10"/>
        <v>0</v>
      </c>
      <c r="W27" s="145">
        <f t="shared" si="11"/>
        <v>0</v>
      </c>
      <c r="Y27">
        <f t="shared" si="12"/>
        <v>0</v>
      </c>
      <c r="Z27">
        <f t="shared" si="13"/>
        <v>0</v>
      </c>
      <c r="AA27">
        <f t="shared" si="1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23"/>
        <v>0</v>
      </c>
      <c r="AF27">
        <f t="shared" si="24"/>
        <v>0</v>
      </c>
      <c r="AG27">
        <f t="shared" si="25"/>
        <v>0</v>
      </c>
      <c r="AI27">
        <f t="shared" si="20"/>
        <v>0</v>
      </c>
      <c r="AJ27">
        <f t="shared" si="21"/>
        <v>0</v>
      </c>
      <c r="AK27">
        <f t="shared" si="2"/>
        <v>0</v>
      </c>
      <c r="AL27">
        <f t="shared" si="22"/>
        <v>0</v>
      </c>
    </row>
    <row r="28" spans="1:38" ht="15" customHeight="1">
      <c r="A28" s="190"/>
      <c r="B28" s="263"/>
      <c r="C28" s="191"/>
      <c r="D28" s="191"/>
      <c r="E28" s="190"/>
      <c r="F28" s="190"/>
      <c r="G28" s="192"/>
      <c r="H28" s="198" t="str">
        <f>VLOOKUP(G:G,A62:B87,2,FALSE)</f>
        <v> </v>
      </c>
      <c r="I28" s="254"/>
      <c r="J28" s="254"/>
      <c r="K28" s="254"/>
      <c r="L28" s="148">
        <f t="shared" si="0"/>
        <v>0</v>
      </c>
      <c r="M28" s="255"/>
      <c r="O28" s="145">
        <f t="shared" si="3"/>
        <v>0</v>
      </c>
      <c r="P28" s="145">
        <f t="shared" si="4"/>
        <v>0</v>
      </c>
      <c r="Q28" s="145">
        <f t="shared" si="5"/>
        <v>0</v>
      </c>
      <c r="R28" s="145">
        <f t="shared" si="6"/>
        <v>0</v>
      </c>
      <c r="S28" s="145">
        <f t="shared" si="7"/>
        <v>0</v>
      </c>
      <c r="T28" s="145">
        <f t="shared" si="8"/>
        <v>0</v>
      </c>
      <c r="U28" s="145">
        <f t="shared" si="9"/>
        <v>0</v>
      </c>
      <c r="V28" s="145">
        <f t="shared" si="10"/>
        <v>0</v>
      </c>
      <c r="W28" s="145">
        <f t="shared" si="11"/>
        <v>0</v>
      </c>
      <c r="Y28">
        <f t="shared" si="12"/>
        <v>0</v>
      </c>
      <c r="Z28">
        <f t="shared" si="13"/>
        <v>0</v>
      </c>
      <c r="AA28">
        <f t="shared" si="1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23"/>
        <v>0</v>
      </c>
      <c r="AF28">
        <f t="shared" si="24"/>
        <v>0</v>
      </c>
      <c r="AG28">
        <f t="shared" si="25"/>
        <v>0</v>
      </c>
      <c r="AI28">
        <f t="shared" si="20"/>
        <v>0</v>
      </c>
      <c r="AJ28">
        <f t="shared" si="21"/>
        <v>0</v>
      </c>
      <c r="AK28">
        <f t="shared" si="2"/>
        <v>0</v>
      </c>
      <c r="AL28">
        <f t="shared" si="22"/>
        <v>0</v>
      </c>
    </row>
    <row r="29" spans="1:38" ht="15" customHeight="1">
      <c r="A29" s="190"/>
      <c r="B29" s="263"/>
      <c r="C29" s="191"/>
      <c r="D29" s="191"/>
      <c r="E29" s="190"/>
      <c r="F29" s="190"/>
      <c r="G29" s="192"/>
      <c r="H29" s="198" t="str">
        <f>VLOOKUP(G:G,A62:B87,2,FALSE)</f>
        <v> </v>
      </c>
      <c r="I29" s="254"/>
      <c r="J29" s="254"/>
      <c r="K29" s="254"/>
      <c r="L29" s="148">
        <f t="shared" si="0"/>
        <v>0</v>
      </c>
      <c r="M29" s="255"/>
      <c r="O29" s="145">
        <f t="shared" si="3"/>
        <v>0</v>
      </c>
      <c r="P29" s="145">
        <f t="shared" si="4"/>
        <v>0</v>
      </c>
      <c r="Q29" s="145">
        <f t="shared" si="5"/>
        <v>0</v>
      </c>
      <c r="R29" s="145">
        <f t="shared" si="6"/>
        <v>0</v>
      </c>
      <c r="S29" s="145">
        <f t="shared" si="7"/>
        <v>0</v>
      </c>
      <c r="T29" s="145">
        <f t="shared" si="8"/>
        <v>0</v>
      </c>
      <c r="U29" s="145">
        <f t="shared" si="9"/>
        <v>0</v>
      </c>
      <c r="V29" s="145">
        <f t="shared" si="10"/>
        <v>0</v>
      </c>
      <c r="W29" s="145">
        <f t="shared" si="11"/>
        <v>0</v>
      </c>
      <c r="Y29">
        <f t="shared" si="12"/>
        <v>0</v>
      </c>
      <c r="Z29">
        <f t="shared" si="13"/>
        <v>0</v>
      </c>
      <c r="AA29">
        <f t="shared" si="1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23"/>
        <v>0</v>
      </c>
      <c r="AF29">
        <f t="shared" si="24"/>
        <v>0</v>
      </c>
      <c r="AG29">
        <f t="shared" si="25"/>
        <v>0</v>
      </c>
      <c r="AI29">
        <f t="shared" si="20"/>
        <v>0</v>
      </c>
      <c r="AJ29">
        <f t="shared" si="21"/>
        <v>0</v>
      </c>
      <c r="AK29">
        <f t="shared" si="2"/>
        <v>0</v>
      </c>
      <c r="AL29">
        <f t="shared" si="22"/>
        <v>0</v>
      </c>
    </row>
    <row r="30" spans="1:38" ht="15" customHeight="1">
      <c r="A30" s="190"/>
      <c r="B30" s="263"/>
      <c r="C30" s="191"/>
      <c r="D30" s="191"/>
      <c r="E30" s="190"/>
      <c r="F30" s="190"/>
      <c r="G30" s="192"/>
      <c r="H30" s="198" t="str">
        <f>VLOOKUP(G:G,A62:B87,2,FALSE)</f>
        <v> </v>
      </c>
      <c r="I30" s="254"/>
      <c r="J30" s="254"/>
      <c r="K30" s="254"/>
      <c r="L30" s="148">
        <f t="shared" si="0"/>
        <v>0</v>
      </c>
      <c r="M30" s="255"/>
      <c r="O30" s="145">
        <f t="shared" si="3"/>
        <v>0</v>
      </c>
      <c r="P30" s="145">
        <f t="shared" si="4"/>
        <v>0</v>
      </c>
      <c r="Q30" s="145">
        <f t="shared" si="5"/>
        <v>0</v>
      </c>
      <c r="R30" s="145">
        <f t="shared" si="6"/>
        <v>0</v>
      </c>
      <c r="S30" s="145">
        <f t="shared" si="7"/>
        <v>0</v>
      </c>
      <c r="T30" s="145">
        <f t="shared" si="8"/>
        <v>0</v>
      </c>
      <c r="U30" s="145">
        <f t="shared" si="9"/>
        <v>0</v>
      </c>
      <c r="V30" s="145">
        <f t="shared" si="10"/>
        <v>0</v>
      </c>
      <c r="W30" s="145">
        <f t="shared" si="11"/>
        <v>0</v>
      </c>
      <c r="Y30">
        <f t="shared" si="12"/>
        <v>0</v>
      </c>
      <c r="Z30">
        <f t="shared" si="13"/>
        <v>0</v>
      </c>
      <c r="AA30">
        <f t="shared" si="1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23"/>
        <v>0</v>
      </c>
      <c r="AF30">
        <f t="shared" si="24"/>
        <v>0</v>
      </c>
      <c r="AG30">
        <f t="shared" si="25"/>
        <v>0</v>
      </c>
      <c r="AI30">
        <f t="shared" si="20"/>
        <v>0</v>
      </c>
      <c r="AJ30">
        <f t="shared" si="21"/>
        <v>0</v>
      </c>
      <c r="AK30">
        <f t="shared" si="2"/>
        <v>0</v>
      </c>
      <c r="AL30">
        <f t="shared" si="22"/>
        <v>0</v>
      </c>
    </row>
    <row r="31" spans="1:38" ht="15" customHeight="1">
      <c r="A31" s="190"/>
      <c r="B31" s="263"/>
      <c r="C31" s="191"/>
      <c r="D31" s="191"/>
      <c r="E31" s="190"/>
      <c r="F31" s="190"/>
      <c r="G31" s="192"/>
      <c r="H31" s="198" t="str">
        <f>VLOOKUP(G:G,A62:B87,2,FALSE)</f>
        <v> </v>
      </c>
      <c r="I31" s="254"/>
      <c r="J31" s="254"/>
      <c r="K31" s="254"/>
      <c r="L31" s="148">
        <f t="shared" si="0"/>
        <v>0</v>
      </c>
      <c r="M31" s="255"/>
      <c r="O31" s="145">
        <f t="shared" si="3"/>
        <v>0</v>
      </c>
      <c r="P31" s="145">
        <f t="shared" si="4"/>
        <v>0</v>
      </c>
      <c r="Q31" s="145">
        <f t="shared" si="5"/>
        <v>0</v>
      </c>
      <c r="R31" s="145">
        <f t="shared" si="6"/>
        <v>0</v>
      </c>
      <c r="S31" s="145">
        <f t="shared" si="7"/>
        <v>0</v>
      </c>
      <c r="T31" s="145">
        <f t="shared" si="8"/>
        <v>0</v>
      </c>
      <c r="U31" s="145">
        <f t="shared" si="9"/>
        <v>0</v>
      </c>
      <c r="V31" s="145">
        <f t="shared" si="10"/>
        <v>0</v>
      </c>
      <c r="W31" s="145">
        <f t="shared" si="11"/>
        <v>0</v>
      </c>
      <c r="Y31">
        <f t="shared" si="12"/>
        <v>0</v>
      </c>
      <c r="Z31">
        <f t="shared" si="13"/>
        <v>0</v>
      </c>
      <c r="AA31">
        <f t="shared" si="1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23"/>
        <v>0</v>
      </c>
      <c r="AF31">
        <f t="shared" si="24"/>
        <v>0</v>
      </c>
      <c r="AG31">
        <f t="shared" si="25"/>
        <v>0</v>
      </c>
      <c r="AI31">
        <f t="shared" si="20"/>
        <v>0</v>
      </c>
      <c r="AJ31">
        <f t="shared" si="21"/>
        <v>0</v>
      </c>
      <c r="AK31">
        <f t="shared" si="2"/>
        <v>0</v>
      </c>
      <c r="AL31">
        <f t="shared" si="22"/>
        <v>0</v>
      </c>
    </row>
    <row r="32" spans="1:38" ht="15" customHeight="1">
      <c r="A32" s="190"/>
      <c r="B32" s="263"/>
      <c r="C32" s="191"/>
      <c r="D32" s="191"/>
      <c r="E32" s="190"/>
      <c r="F32" s="190"/>
      <c r="G32" s="192"/>
      <c r="H32" s="198" t="str">
        <f>VLOOKUP(G:G,A62:B87,2,FALSE)</f>
        <v> </v>
      </c>
      <c r="I32" s="254"/>
      <c r="J32" s="254"/>
      <c r="K32" s="254"/>
      <c r="L32" s="148">
        <f t="shared" si="0"/>
        <v>0</v>
      </c>
      <c r="M32" s="255"/>
      <c r="O32" s="145">
        <f t="shared" si="3"/>
        <v>0</v>
      </c>
      <c r="P32" s="145">
        <f t="shared" si="4"/>
        <v>0</v>
      </c>
      <c r="Q32" s="145">
        <f t="shared" si="5"/>
        <v>0</v>
      </c>
      <c r="R32" s="145">
        <f t="shared" si="6"/>
        <v>0</v>
      </c>
      <c r="S32" s="145">
        <f t="shared" si="7"/>
        <v>0</v>
      </c>
      <c r="T32" s="145">
        <f t="shared" si="8"/>
        <v>0</v>
      </c>
      <c r="U32" s="145">
        <f t="shared" si="9"/>
        <v>0</v>
      </c>
      <c r="V32" s="145">
        <f t="shared" si="10"/>
        <v>0</v>
      </c>
      <c r="W32" s="145">
        <f t="shared" si="11"/>
        <v>0</v>
      </c>
      <c r="Y32">
        <f t="shared" si="12"/>
        <v>0</v>
      </c>
      <c r="Z32">
        <f t="shared" si="13"/>
        <v>0</v>
      </c>
      <c r="AA32">
        <f t="shared" si="1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23"/>
        <v>0</v>
      </c>
      <c r="AF32">
        <f t="shared" si="24"/>
        <v>0</v>
      </c>
      <c r="AG32">
        <f t="shared" si="25"/>
        <v>0</v>
      </c>
      <c r="AI32">
        <f t="shared" si="20"/>
        <v>0</v>
      </c>
      <c r="AJ32">
        <f t="shared" si="21"/>
        <v>0</v>
      </c>
      <c r="AK32">
        <f t="shared" si="2"/>
        <v>0</v>
      </c>
      <c r="AL32">
        <f t="shared" si="22"/>
        <v>0</v>
      </c>
    </row>
    <row r="33" spans="1:38" ht="15" customHeight="1">
      <c r="A33" s="190"/>
      <c r="B33" s="263"/>
      <c r="C33" s="191"/>
      <c r="D33" s="191"/>
      <c r="E33" s="190"/>
      <c r="F33" s="190"/>
      <c r="G33" s="192"/>
      <c r="H33" s="198" t="str">
        <f>VLOOKUP(G:G,A62:B87,2,FALSE)</f>
        <v> </v>
      </c>
      <c r="I33" s="254"/>
      <c r="J33" s="254"/>
      <c r="K33" s="254"/>
      <c r="L33" s="148">
        <f t="shared" si="0"/>
        <v>0</v>
      </c>
      <c r="M33" s="255"/>
      <c r="O33" s="145">
        <f t="shared" si="3"/>
        <v>0</v>
      </c>
      <c r="P33" s="145">
        <f t="shared" si="4"/>
        <v>0</v>
      </c>
      <c r="Q33" s="145">
        <f t="shared" si="5"/>
        <v>0</v>
      </c>
      <c r="R33" s="145">
        <f t="shared" si="6"/>
        <v>0</v>
      </c>
      <c r="S33" s="145">
        <f t="shared" si="7"/>
        <v>0</v>
      </c>
      <c r="T33" s="145">
        <f t="shared" si="8"/>
        <v>0</v>
      </c>
      <c r="U33" s="145">
        <f t="shared" si="9"/>
        <v>0</v>
      </c>
      <c r="V33" s="145">
        <f t="shared" si="10"/>
        <v>0</v>
      </c>
      <c r="W33" s="145">
        <f t="shared" si="11"/>
        <v>0</v>
      </c>
      <c r="Y33">
        <f t="shared" si="12"/>
        <v>0</v>
      </c>
      <c r="Z33">
        <f t="shared" si="13"/>
        <v>0</v>
      </c>
      <c r="AA33">
        <f t="shared" si="1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23"/>
        <v>0</v>
      </c>
      <c r="AF33">
        <f t="shared" si="24"/>
        <v>0</v>
      </c>
      <c r="AG33">
        <f t="shared" si="25"/>
        <v>0</v>
      </c>
      <c r="AI33">
        <f t="shared" si="20"/>
        <v>0</v>
      </c>
      <c r="AJ33">
        <f t="shared" si="21"/>
        <v>0</v>
      </c>
      <c r="AK33">
        <f t="shared" si="2"/>
        <v>0</v>
      </c>
      <c r="AL33">
        <f t="shared" si="22"/>
        <v>0</v>
      </c>
    </row>
    <row r="34" spans="1:38" ht="15" customHeight="1">
      <c r="A34" s="190"/>
      <c r="B34" s="263"/>
      <c r="C34" s="191"/>
      <c r="D34" s="191"/>
      <c r="E34" s="190"/>
      <c r="F34" s="190"/>
      <c r="G34" s="192"/>
      <c r="H34" s="198" t="str">
        <f>VLOOKUP(G:G,A62:B87,2,FALSE)</f>
        <v> </v>
      </c>
      <c r="I34" s="254"/>
      <c r="J34" s="254"/>
      <c r="K34" s="254"/>
      <c r="L34" s="148">
        <f t="shared" si="0"/>
        <v>0</v>
      </c>
      <c r="M34" s="255"/>
      <c r="O34" s="145">
        <f t="shared" si="3"/>
        <v>0</v>
      </c>
      <c r="P34" s="145">
        <f t="shared" si="4"/>
        <v>0</v>
      </c>
      <c r="Q34" s="145">
        <f t="shared" si="5"/>
        <v>0</v>
      </c>
      <c r="R34" s="145">
        <f t="shared" si="6"/>
        <v>0</v>
      </c>
      <c r="S34" s="145">
        <f t="shared" si="7"/>
        <v>0</v>
      </c>
      <c r="T34" s="145">
        <f t="shared" si="8"/>
        <v>0</v>
      </c>
      <c r="U34" s="145">
        <f t="shared" si="9"/>
        <v>0</v>
      </c>
      <c r="V34" s="145">
        <f t="shared" si="10"/>
        <v>0</v>
      </c>
      <c r="W34" s="145">
        <f t="shared" si="11"/>
        <v>0</v>
      </c>
      <c r="Y34">
        <f t="shared" si="12"/>
        <v>0</v>
      </c>
      <c r="Z34">
        <f t="shared" si="13"/>
        <v>0</v>
      </c>
      <c r="AA34">
        <f t="shared" si="1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23"/>
        <v>0</v>
      </c>
      <c r="AF34">
        <f t="shared" si="24"/>
        <v>0</v>
      </c>
      <c r="AG34">
        <f t="shared" si="25"/>
        <v>0</v>
      </c>
      <c r="AI34">
        <f t="shared" si="20"/>
        <v>0</v>
      </c>
      <c r="AJ34">
        <f t="shared" si="21"/>
        <v>0</v>
      </c>
      <c r="AK34">
        <f t="shared" si="2"/>
        <v>0</v>
      </c>
      <c r="AL34">
        <f t="shared" si="22"/>
        <v>0</v>
      </c>
    </row>
    <row r="35" spans="1:38" ht="15" customHeight="1">
      <c r="A35" s="190"/>
      <c r="B35" s="263"/>
      <c r="C35" s="191"/>
      <c r="D35" s="191"/>
      <c r="E35" s="190"/>
      <c r="F35" s="190"/>
      <c r="G35" s="192"/>
      <c r="H35" s="198" t="str">
        <f>VLOOKUP(G:G,A62:B87,2,FALSE)</f>
        <v> </v>
      </c>
      <c r="I35" s="254"/>
      <c r="J35" s="254"/>
      <c r="K35" s="254"/>
      <c r="L35" s="148">
        <f t="shared" si="0"/>
        <v>0</v>
      </c>
      <c r="M35" s="255"/>
      <c r="O35" s="145">
        <f t="shared" si="3"/>
        <v>0</v>
      </c>
      <c r="P35" s="145">
        <f t="shared" si="4"/>
        <v>0</v>
      </c>
      <c r="Q35" s="145">
        <f t="shared" si="5"/>
        <v>0</v>
      </c>
      <c r="R35" s="145">
        <f t="shared" si="6"/>
        <v>0</v>
      </c>
      <c r="S35" s="145">
        <f t="shared" si="7"/>
        <v>0</v>
      </c>
      <c r="T35" s="145">
        <f t="shared" si="8"/>
        <v>0</v>
      </c>
      <c r="U35" s="145">
        <f t="shared" si="9"/>
        <v>0</v>
      </c>
      <c r="V35" s="145">
        <f t="shared" si="10"/>
        <v>0</v>
      </c>
      <c r="W35" s="145">
        <f t="shared" si="11"/>
        <v>0</v>
      </c>
      <c r="Y35">
        <f t="shared" si="12"/>
        <v>0</v>
      </c>
      <c r="Z35">
        <f t="shared" si="13"/>
        <v>0</v>
      </c>
      <c r="AA35">
        <f t="shared" si="1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23"/>
        <v>0</v>
      </c>
      <c r="AF35">
        <f t="shared" si="24"/>
        <v>0</v>
      </c>
      <c r="AG35">
        <f t="shared" si="25"/>
        <v>0</v>
      </c>
      <c r="AI35">
        <f t="shared" si="20"/>
        <v>0</v>
      </c>
      <c r="AJ35">
        <f t="shared" si="21"/>
        <v>0</v>
      </c>
      <c r="AK35">
        <f t="shared" si="2"/>
        <v>0</v>
      </c>
      <c r="AL35">
        <f t="shared" si="22"/>
        <v>0</v>
      </c>
    </row>
    <row r="36" spans="1:38" ht="15" customHeight="1">
      <c r="A36" s="190"/>
      <c r="B36" s="263"/>
      <c r="C36" s="191"/>
      <c r="D36" s="191"/>
      <c r="E36" s="190"/>
      <c r="F36" s="190"/>
      <c r="G36" s="192"/>
      <c r="H36" s="198" t="str">
        <f>VLOOKUP(G:G,A62:B87,2,FALSE)</f>
        <v> </v>
      </c>
      <c r="I36" s="254"/>
      <c r="J36" s="254"/>
      <c r="K36" s="254"/>
      <c r="L36" s="148">
        <f t="shared" si="0"/>
        <v>0</v>
      </c>
      <c r="M36" s="255"/>
      <c r="O36" s="145">
        <f t="shared" si="3"/>
        <v>0</v>
      </c>
      <c r="P36" s="145">
        <f t="shared" si="4"/>
        <v>0</v>
      </c>
      <c r="Q36" s="145">
        <f t="shared" si="5"/>
        <v>0</v>
      </c>
      <c r="R36" s="145">
        <f t="shared" si="6"/>
        <v>0</v>
      </c>
      <c r="S36" s="145">
        <f t="shared" si="7"/>
        <v>0</v>
      </c>
      <c r="T36" s="145">
        <f t="shared" si="8"/>
        <v>0</v>
      </c>
      <c r="U36" s="145">
        <f t="shared" si="9"/>
        <v>0</v>
      </c>
      <c r="V36" s="145">
        <f t="shared" si="10"/>
        <v>0</v>
      </c>
      <c r="W36" s="145">
        <f t="shared" si="11"/>
        <v>0</v>
      </c>
      <c r="Y36">
        <f t="shared" si="12"/>
        <v>0</v>
      </c>
      <c r="Z36">
        <f t="shared" si="13"/>
        <v>0</v>
      </c>
      <c r="AA36">
        <f t="shared" si="1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23"/>
        <v>0</v>
      </c>
      <c r="AF36">
        <f t="shared" si="24"/>
        <v>0</v>
      </c>
      <c r="AG36">
        <f t="shared" si="25"/>
        <v>0</v>
      </c>
      <c r="AI36">
        <f t="shared" si="20"/>
        <v>0</v>
      </c>
      <c r="AJ36">
        <f t="shared" si="21"/>
        <v>0</v>
      </c>
      <c r="AK36">
        <f t="shared" si="2"/>
        <v>0</v>
      </c>
      <c r="AL36">
        <f t="shared" si="22"/>
        <v>0</v>
      </c>
    </row>
    <row r="37" spans="1:38" ht="15" customHeight="1">
      <c r="A37" s="190"/>
      <c r="B37" s="263"/>
      <c r="C37" s="191"/>
      <c r="D37" s="191"/>
      <c r="E37" s="190"/>
      <c r="F37" s="190"/>
      <c r="G37" s="192"/>
      <c r="H37" s="198" t="str">
        <f>VLOOKUP(G:G,A62:B87,2,FALSE)</f>
        <v> </v>
      </c>
      <c r="I37" s="254"/>
      <c r="J37" s="254"/>
      <c r="K37" s="254"/>
      <c r="L37" s="148">
        <f t="shared" si="0"/>
        <v>0</v>
      </c>
      <c r="M37" s="255"/>
      <c r="O37" s="145">
        <f t="shared" si="3"/>
        <v>0</v>
      </c>
      <c r="P37" s="145">
        <f t="shared" si="4"/>
        <v>0</v>
      </c>
      <c r="Q37" s="145">
        <f t="shared" si="5"/>
        <v>0</v>
      </c>
      <c r="R37" s="145">
        <f t="shared" si="6"/>
        <v>0</v>
      </c>
      <c r="S37" s="145">
        <f t="shared" si="7"/>
        <v>0</v>
      </c>
      <c r="T37" s="145">
        <f t="shared" si="8"/>
        <v>0</v>
      </c>
      <c r="U37" s="145">
        <f t="shared" si="9"/>
        <v>0</v>
      </c>
      <c r="V37" s="145">
        <f t="shared" si="10"/>
        <v>0</v>
      </c>
      <c r="W37" s="145">
        <f t="shared" si="11"/>
        <v>0</v>
      </c>
      <c r="Y37">
        <f t="shared" si="12"/>
        <v>0</v>
      </c>
      <c r="Z37">
        <f t="shared" si="13"/>
        <v>0</v>
      </c>
      <c r="AA37">
        <f t="shared" si="1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23"/>
        <v>0</v>
      </c>
      <c r="AF37">
        <f t="shared" si="24"/>
        <v>0</v>
      </c>
      <c r="AG37">
        <f t="shared" si="25"/>
        <v>0</v>
      </c>
      <c r="AI37">
        <f t="shared" si="20"/>
        <v>0</v>
      </c>
      <c r="AJ37">
        <f t="shared" si="21"/>
        <v>0</v>
      </c>
      <c r="AK37">
        <f t="shared" si="2"/>
        <v>0</v>
      </c>
      <c r="AL37">
        <f t="shared" si="22"/>
        <v>0</v>
      </c>
    </row>
    <row r="38" spans="1:38" ht="15" customHeight="1">
      <c r="A38" s="190"/>
      <c r="B38" s="263"/>
      <c r="C38" s="191"/>
      <c r="D38" s="191"/>
      <c r="E38" s="190"/>
      <c r="F38" s="190"/>
      <c r="G38" s="192"/>
      <c r="H38" s="198" t="str">
        <f>VLOOKUP(G:G,A62:B87,2,FALSE)</f>
        <v> </v>
      </c>
      <c r="I38" s="254"/>
      <c r="J38" s="254"/>
      <c r="K38" s="254"/>
      <c r="L38" s="148">
        <f t="shared" si="0"/>
        <v>0</v>
      </c>
      <c r="M38" s="255"/>
      <c r="O38" s="145">
        <f t="shared" si="3"/>
        <v>0</v>
      </c>
      <c r="P38" s="145">
        <f t="shared" si="4"/>
        <v>0</v>
      </c>
      <c r="Q38" s="145">
        <f t="shared" si="5"/>
        <v>0</v>
      </c>
      <c r="R38" s="145">
        <f t="shared" si="6"/>
        <v>0</v>
      </c>
      <c r="S38" s="145">
        <f t="shared" si="7"/>
        <v>0</v>
      </c>
      <c r="T38" s="145">
        <f t="shared" si="8"/>
        <v>0</v>
      </c>
      <c r="U38" s="145">
        <f t="shared" si="9"/>
        <v>0</v>
      </c>
      <c r="V38" s="145">
        <f t="shared" si="10"/>
        <v>0</v>
      </c>
      <c r="W38" s="145">
        <f t="shared" si="11"/>
        <v>0</v>
      </c>
      <c r="Y38">
        <f t="shared" si="12"/>
        <v>0</v>
      </c>
      <c r="Z38">
        <f t="shared" si="13"/>
        <v>0</v>
      </c>
      <c r="AA38">
        <f t="shared" si="1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23"/>
        <v>0</v>
      </c>
      <c r="AF38">
        <f t="shared" si="24"/>
        <v>0</v>
      </c>
      <c r="AG38">
        <f t="shared" si="25"/>
        <v>0</v>
      </c>
      <c r="AI38">
        <f t="shared" si="20"/>
        <v>0</v>
      </c>
      <c r="AJ38">
        <f t="shared" si="21"/>
        <v>0</v>
      </c>
      <c r="AK38">
        <f t="shared" si="2"/>
        <v>0</v>
      </c>
      <c r="AL38">
        <f t="shared" si="22"/>
        <v>0</v>
      </c>
    </row>
    <row r="39" spans="1:38" ht="15" customHeight="1">
      <c r="A39" s="190"/>
      <c r="B39" s="263"/>
      <c r="C39" s="191"/>
      <c r="D39" s="191"/>
      <c r="E39" s="190"/>
      <c r="F39" s="190"/>
      <c r="G39" s="192"/>
      <c r="H39" s="198" t="str">
        <f>VLOOKUP(G:G,A62:B87,2,FALSE)</f>
        <v> </v>
      </c>
      <c r="I39" s="254"/>
      <c r="J39" s="254"/>
      <c r="K39" s="254"/>
      <c r="L39" s="148">
        <f t="shared" si="0"/>
        <v>0</v>
      </c>
      <c r="M39" s="255"/>
      <c r="O39" s="145">
        <f t="shared" si="3"/>
        <v>0</v>
      </c>
      <c r="P39" s="145">
        <f t="shared" si="4"/>
        <v>0</v>
      </c>
      <c r="Q39" s="145">
        <f t="shared" si="5"/>
        <v>0</v>
      </c>
      <c r="R39" s="145">
        <f t="shared" si="6"/>
        <v>0</v>
      </c>
      <c r="S39" s="145">
        <f t="shared" si="7"/>
        <v>0</v>
      </c>
      <c r="T39" s="145">
        <f t="shared" si="8"/>
        <v>0</v>
      </c>
      <c r="U39" s="145">
        <f t="shared" si="9"/>
        <v>0</v>
      </c>
      <c r="V39" s="145">
        <f t="shared" si="10"/>
        <v>0</v>
      </c>
      <c r="W39" s="145">
        <f t="shared" si="11"/>
        <v>0</v>
      </c>
      <c r="Y39">
        <f t="shared" si="12"/>
        <v>0</v>
      </c>
      <c r="Z39">
        <f t="shared" si="13"/>
        <v>0</v>
      </c>
      <c r="AA39">
        <f t="shared" si="1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23"/>
        <v>0</v>
      </c>
      <c r="AF39">
        <f t="shared" si="24"/>
        <v>0</v>
      </c>
      <c r="AG39">
        <f t="shared" si="25"/>
        <v>0</v>
      </c>
      <c r="AI39">
        <f t="shared" si="20"/>
        <v>0</v>
      </c>
      <c r="AJ39">
        <f t="shared" si="21"/>
        <v>0</v>
      </c>
      <c r="AK39">
        <f t="shared" si="2"/>
        <v>0</v>
      </c>
      <c r="AL39">
        <f t="shared" si="22"/>
        <v>0</v>
      </c>
    </row>
    <row r="40" spans="1:38" ht="15" customHeight="1">
      <c r="A40" s="189"/>
      <c r="B40" s="263"/>
      <c r="C40" s="191"/>
      <c r="D40" s="191"/>
      <c r="E40" s="190"/>
      <c r="F40" s="190"/>
      <c r="G40" s="192"/>
      <c r="H40" s="198" t="str">
        <f>VLOOKUP(G:G,A62:B87,2,FALSE)</f>
        <v> </v>
      </c>
      <c r="I40" s="254"/>
      <c r="J40" s="254"/>
      <c r="K40" s="254"/>
      <c r="L40" s="148">
        <f>SUM(I40,0.6*J40)</f>
        <v>0</v>
      </c>
      <c r="M40" s="255"/>
      <c r="O40" s="145">
        <f t="shared" si="3"/>
        <v>0</v>
      </c>
      <c r="P40" s="145">
        <f t="shared" si="4"/>
        <v>0</v>
      </c>
      <c r="Q40" s="145">
        <f t="shared" si="5"/>
        <v>0</v>
      </c>
      <c r="R40" s="145">
        <f t="shared" si="6"/>
        <v>0</v>
      </c>
      <c r="S40" s="145">
        <f t="shared" si="7"/>
        <v>0</v>
      </c>
      <c r="T40" s="145">
        <f t="shared" si="8"/>
        <v>0</v>
      </c>
      <c r="U40" s="145">
        <f t="shared" si="9"/>
        <v>0</v>
      </c>
      <c r="V40" s="145">
        <f t="shared" si="10"/>
        <v>0</v>
      </c>
      <c r="W40" s="145">
        <f t="shared" si="11"/>
        <v>0</v>
      </c>
      <c r="Y40">
        <f t="shared" si="12"/>
        <v>0</v>
      </c>
      <c r="Z40">
        <f t="shared" si="13"/>
        <v>0</v>
      </c>
      <c r="AA40">
        <f t="shared" si="1"/>
        <v>0</v>
      </c>
      <c r="AB40">
        <f t="shared" si="14"/>
        <v>0</v>
      </c>
      <c r="AC40">
        <f t="shared" si="15"/>
        <v>0</v>
      </c>
      <c r="AD40">
        <f>IF(OR($G40="U6/1",$G40="U6/2"),$I40,0)</f>
        <v>0</v>
      </c>
      <c r="AE40">
        <f>IF(OR($G40="U3/4",$G40="U4/1",$G40="U4/2",$G40="U4/3"),$M40,0)</f>
        <v>0</v>
      </c>
      <c r="AF40">
        <f>IF($G40="U2/5",$I40+($J40+$K40)*0.6,0)</f>
        <v>0</v>
      </c>
      <c r="AG40">
        <f>IF(OR($G40="U5/1",$G40="U5/2",$G40="U5/3",$G40="U5/4"),$M40,0)</f>
        <v>0</v>
      </c>
      <c r="AI40">
        <f t="shared" si="20"/>
        <v>0</v>
      </c>
      <c r="AJ40">
        <f t="shared" si="21"/>
        <v>0</v>
      </c>
      <c r="AK40">
        <f t="shared" si="2"/>
        <v>0</v>
      </c>
      <c r="AL40">
        <f>IF(AND(OR($F40="RE con CU",$F40="RE senza CU"),OR($G40="U6/1",$G40="U6/2")),($I40+($J40+$K40)*0.6),0)</f>
        <v>0</v>
      </c>
    </row>
    <row r="41" spans="1:38" ht="15" customHeight="1">
      <c r="A41" s="189"/>
      <c r="B41" s="263"/>
      <c r="C41" s="191"/>
      <c r="D41" s="191"/>
      <c r="E41" s="190"/>
      <c r="F41" s="190"/>
      <c r="G41" s="192"/>
      <c r="H41" s="198" t="str">
        <f>VLOOKUP(G:G,A62:B87,2,FALSE)</f>
        <v> </v>
      </c>
      <c r="I41" s="254"/>
      <c r="J41" s="254"/>
      <c r="K41" s="254"/>
      <c r="L41" s="148">
        <f>SUM(I41,0.6*J41)</f>
        <v>0</v>
      </c>
      <c r="M41" s="255"/>
      <c r="O41" s="145">
        <f t="shared" si="3"/>
        <v>0</v>
      </c>
      <c r="P41" s="145">
        <f t="shared" si="4"/>
        <v>0</v>
      </c>
      <c r="Q41" s="145">
        <f t="shared" si="5"/>
        <v>0</v>
      </c>
      <c r="R41" s="145">
        <f t="shared" si="6"/>
        <v>0</v>
      </c>
      <c r="S41" s="145">
        <f t="shared" si="7"/>
        <v>0</v>
      </c>
      <c r="T41" s="145">
        <f t="shared" si="8"/>
        <v>0</v>
      </c>
      <c r="U41" s="145">
        <f t="shared" si="9"/>
        <v>0</v>
      </c>
      <c r="V41" s="145">
        <f t="shared" si="10"/>
        <v>0</v>
      </c>
      <c r="W41" s="145">
        <f t="shared" si="11"/>
        <v>0</v>
      </c>
      <c r="Y41">
        <f t="shared" si="12"/>
        <v>0</v>
      </c>
      <c r="Z41">
        <f t="shared" si="13"/>
        <v>0</v>
      </c>
      <c r="AA41">
        <f t="shared" si="1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>IF(OR($G41="U3/4",$G41="U4/1",$G41="U4/2",$G41="U4/3"),$M41,0)</f>
        <v>0</v>
      </c>
      <c r="AF41">
        <f>IF($G41="U2/5",$I41+($J41+$K41)*0.6,0)</f>
        <v>0</v>
      </c>
      <c r="AG41">
        <f>IF(OR($G41="U5/1",$G41="U5/2",$G41="U5/3",$G41="U5/4"),$M41,0)</f>
        <v>0</v>
      </c>
      <c r="AI41">
        <f t="shared" si="20"/>
        <v>0</v>
      </c>
      <c r="AJ41">
        <f t="shared" si="21"/>
        <v>0</v>
      </c>
      <c r="AK41">
        <f t="shared" si="2"/>
        <v>0</v>
      </c>
      <c r="AL41">
        <f t="shared" si="22"/>
        <v>0</v>
      </c>
    </row>
    <row r="42" spans="1:38" ht="15" customHeight="1">
      <c r="A42" s="189"/>
      <c r="B42" s="264"/>
      <c r="C42" s="191"/>
      <c r="D42" s="191"/>
      <c r="E42" s="190"/>
      <c r="F42" s="190"/>
      <c r="G42" s="192"/>
      <c r="H42" s="198" t="str">
        <f>VLOOKUP(G:G,A62:B87,2,FALSE)</f>
        <v> </v>
      </c>
      <c r="I42" s="254"/>
      <c r="J42" s="254"/>
      <c r="K42" s="254"/>
      <c r="L42" s="148">
        <f>SUM(I42,0.6*J42)</f>
        <v>0</v>
      </c>
      <c r="M42" s="255"/>
      <c r="O42" s="145">
        <f t="shared" si="3"/>
        <v>0</v>
      </c>
      <c r="P42" s="145">
        <f t="shared" si="4"/>
        <v>0</v>
      </c>
      <c r="Q42" s="145">
        <f t="shared" si="5"/>
        <v>0</v>
      </c>
      <c r="R42" s="145">
        <f t="shared" si="6"/>
        <v>0</v>
      </c>
      <c r="S42" s="145">
        <f t="shared" si="7"/>
        <v>0</v>
      </c>
      <c r="T42" s="145">
        <f t="shared" si="8"/>
        <v>0</v>
      </c>
      <c r="U42" s="145">
        <f t="shared" si="9"/>
        <v>0</v>
      </c>
      <c r="V42" s="145">
        <f t="shared" si="10"/>
        <v>0</v>
      </c>
      <c r="W42" s="145">
        <f t="shared" si="11"/>
        <v>0</v>
      </c>
      <c r="Y42">
        <f t="shared" si="12"/>
        <v>0</v>
      </c>
      <c r="Z42">
        <f>IF(OR($G42="U2/1",$G42="U2/2",$G42="U2/3",$G42="U2/4",$G42="U2/6",$G42="U3/2",$G42="U3/3",$G42="U3/5",$G42="U3/5a",$G42="U3/6",$G42="U3/7",$G42="U3/1"),$I42,0)</f>
        <v>0</v>
      </c>
      <c r="AA42">
        <f t="shared" si="1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>IF(OR($G42="U3/4",$G42="U4/1",$G42="U4/2",$G42="U4/3"),$M42,0)</f>
        <v>0</v>
      </c>
      <c r="AF42">
        <f>IF($G42="U2/5",$I42+($J42+$K42)*0.6,0)</f>
        <v>0</v>
      </c>
      <c r="AG42">
        <f>IF(OR($G42="U5/1",$G42="U5/2",$G42="U5/3",$G42="U5/4"),$M42,0)</f>
        <v>0</v>
      </c>
      <c r="AI42">
        <f t="shared" si="20"/>
        <v>0</v>
      </c>
      <c r="AJ42">
        <f t="shared" si="21"/>
        <v>0</v>
      </c>
      <c r="AK42">
        <f t="shared" si="2"/>
        <v>0</v>
      </c>
      <c r="AL42">
        <f t="shared" si="22"/>
        <v>0</v>
      </c>
    </row>
    <row r="43" spans="1:38" ht="15" customHeight="1" thickBot="1">
      <c r="A43" s="193"/>
      <c r="B43" s="265"/>
      <c r="C43" s="191"/>
      <c r="D43" s="191"/>
      <c r="E43" s="190"/>
      <c r="F43" s="190"/>
      <c r="G43" s="192"/>
      <c r="H43" s="198" t="str">
        <f>VLOOKUP(G:G,A62:B87,2,FALSE)</f>
        <v> </v>
      </c>
      <c r="I43" s="254"/>
      <c r="J43" s="254"/>
      <c r="K43" s="254"/>
      <c r="L43" s="149">
        <f>SUM(I43,0.6*J43)</f>
        <v>0</v>
      </c>
      <c r="M43" s="256"/>
      <c r="O43" s="145">
        <f t="shared" si="3"/>
        <v>0</v>
      </c>
      <c r="P43" s="145">
        <f t="shared" si="4"/>
        <v>0</v>
      </c>
      <c r="Q43" s="145">
        <f t="shared" si="5"/>
        <v>0</v>
      </c>
      <c r="R43" s="145">
        <f t="shared" si="6"/>
        <v>0</v>
      </c>
      <c r="S43" s="145">
        <f t="shared" si="7"/>
        <v>0</v>
      </c>
      <c r="T43" s="145">
        <f t="shared" si="8"/>
        <v>0</v>
      </c>
      <c r="U43" s="145">
        <f t="shared" si="9"/>
        <v>0</v>
      </c>
      <c r="V43" s="145">
        <f t="shared" si="10"/>
        <v>0</v>
      </c>
      <c r="W43" s="145">
        <f t="shared" si="11"/>
        <v>0</v>
      </c>
      <c r="Y43">
        <f t="shared" si="12"/>
        <v>0</v>
      </c>
      <c r="Z43">
        <f t="shared" si="13"/>
        <v>0</v>
      </c>
      <c r="AA43">
        <f t="shared" si="1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>IF(OR($G43="U3/4",$G43="U4/1",$G43="U4/2",$G43="U4/3"),$M43,0)</f>
        <v>0</v>
      </c>
      <c r="AF43">
        <f>IF($G43="U2/5",$I43+($J43+$K43)*0.6,0)</f>
        <v>0</v>
      </c>
      <c r="AG43">
        <f>IF(OR($G43="U5/1",$G43="U5/2",$G43="U5/3",$G43="U5/4"),$M43,0)</f>
        <v>0</v>
      </c>
      <c r="AI43">
        <f t="shared" si="20"/>
        <v>0</v>
      </c>
      <c r="AJ43">
        <f t="shared" si="21"/>
        <v>0</v>
      </c>
      <c r="AK43">
        <f t="shared" si="2"/>
        <v>0</v>
      </c>
      <c r="AL43">
        <f t="shared" si="22"/>
        <v>0</v>
      </c>
    </row>
    <row r="44" spans="1:13" ht="33.75" customHeight="1" thickBot="1">
      <c r="A44" s="443" t="s">
        <v>172</v>
      </c>
      <c r="B44" s="455"/>
      <c r="C44" s="443"/>
      <c r="D44" s="444"/>
      <c r="E44" s="444"/>
      <c r="F44" s="215"/>
      <c r="G44" s="447" t="s">
        <v>173</v>
      </c>
      <c r="H44" s="448"/>
      <c r="I44" s="150">
        <f>SUM(I4:I43)</f>
        <v>0</v>
      </c>
      <c r="J44" s="151">
        <f>SUM(J4:J43)</f>
        <v>0</v>
      </c>
      <c r="K44" s="151">
        <f>SUM(K4:K43)</f>
        <v>0</v>
      </c>
      <c r="L44" s="152">
        <f>SUM(L4:L43)</f>
        <v>0</v>
      </c>
      <c r="M44" s="152">
        <f>SUM(M4:M43)</f>
        <v>0</v>
      </c>
    </row>
    <row r="45" spans="1:13" ht="15" customHeight="1" thickBot="1">
      <c r="A45" s="441" t="s">
        <v>258</v>
      </c>
      <c r="B45" s="442"/>
      <c r="C45" s="445"/>
      <c r="D45" s="446"/>
      <c r="E45" s="446"/>
      <c r="F45" s="216"/>
      <c r="G45" s="449" t="s">
        <v>174</v>
      </c>
      <c r="H45" s="450"/>
      <c r="I45" s="157"/>
      <c r="J45" s="435">
        <f>SUM(J44:K44)</f>
        <v>0</v>
      </c>
      <c r="K45" s="436"/>
      <c r="L45" s="158"/>
      <c r="M45" s="249"/>
    </row>
    <row r="46" spans="1:14" ht="15" customHeight="1" thickBot="1">
      <c r="A46" s="406" t="s">
        <v>211</v>
      </c>
      <c r="B46" s="403"/>
      <c r="C46" s="410" t="s">
        <v>216</v>
      </c>
      <c r="D46" s="411"/>
      <c r="E46" s="411"/>
      <c r="F46" s="411"/>
      <c r="G46" s="412"/>
      <c r="H46" s="413"/>
      <c r="I46" s="153">
        <f>SUMIF(H4:H43,"=1",I4:I43)</f>
        <v>0</v>
      </c>
      <c r="J46" s="154">
        <f>SUMIF(H4:H43,"=1",J4:J43)</f>
        <v>0</v>
      </c>
      <c r="K46" s="154">
        <f>SUMIF(H4:H43,"=1",K4:K43)</f>
        <v>0</v>
      </c>
      <c r="L46" s="155">
        <f>SUMIF(H4:H43,"=1",L4:L43)</f>
        <v>0</v>
      </c>
      <c r="M46" s="250"/>
      <c r="N46" s="218"/>
    </row>
    <row r="47" spans="1:13" ht="15" customHeight="1" thickBot="1">
      <c r="A47" s="414" t="s">
        <v>210</v>
      </c>
      <c r="B47" s="407"/>
      <c r="C47" s="410" t="s">
        <v>217</v>
      </c>
      <c r="D47" s="411"/>
      <c r="E47" s="411"/>
      <c r="F47" s="411"/>
      <c r="G47" s="412"/>
      <c r="H47" s="413"/>
      <c r="I47" s="153">
        <f>SUMIF(H4:H43,"=2",I4:I43)</f>
        <v>0</v>
      </c>
      <c r="J47" s="154">
        <f>SUMIF(H4:H43,"=2",J4:J43)</f>
        <v>0</v>
      </c>
      <c r="K47" s="154">
        <f>SUMIF(H4:H43,"=2",K4:K43)</f>
        <v>0</v>
      </c>
      <c r="L47" s="155">
        <f>SUMIF(H4:H43,"=2",L4:L43)</f>
        <v>0</v>
      </c>
      <c r="M47" s="250"/>
    </row>
    <row r="48" spans="1:13" ht="15" customHeight="1" thickBot="1">
      <c r="A48" s="439"/>
      <c r="B48" s="403"/>
      <c r="C48" s="437" t="s">
        <v>218</v>
      </c>
      <c r="D48" s="438"/>
      <c r="E48" s="438"/>
      <c r="F48" s="438"/>
      <c r="G48" s="412"/>
      <c r="H48" s="413"/>
      <c r="I48" s="153">
        <f>SUMIF(H4:H43,"=3",I4:I43)</f>
        <v>0</v>
      </c>
      <c r="J48" s="154">
        <f>SUMIF(H4:H43,"=3",J4:J43)</f>
        <v>0</v>
      </c>
      <c r="K48" s="154">
        <f>SUMIF(H4:H43,"=3",K4:K43)</f>
        <v>0</v>
      </c>
      <c r="L48" s="155">
        <f>SUMIF(H4:H43,"=3",L4:L43)</f>
        <v>0</v>
      </c>
      <c r="M48" s="250"/>
    </row>
    <row r="49" spans="1:13" ht="15" customHeight="1" thickBot="1">
      <c r="A49" s="416"/>
      <c r="B49" s="440"/>
      <c r="C49" s="410" t="s">
        <v>219</v>
      </c>
      <c r="D49" s="411"/>
      <c r="E49" s="411"/>
      <c r="F49" s="411"/>
      <c r="G49" s="412"/>
      <c r="H49" s="413"/>
      <c r="I49" s="153">
        <f>SUMIF(H4:H43,"=4",I4:I43)</f>
        <v>0</v>
      </c>
      <c r="J49" s="154">
        <f>SUMIF(H4:H43,"=4",J4:J43)</f>
        <v>0</v>
      </c>
      <c r="K49" s="154">
        <f>SUMIF(H4:H43,"=4",K4:K43)</f>
        <v>0</v>
      </c>
      <c r="L49" s="155">
        <f>SUMIF(H4:H43,"=4",L4:L43)</f>
        <v>0</v>
      </c>
      <c r="M49" s="250"/>
    </row>
    <row r="50" spans="1:13" ht="15" customHeight="1" thickBot="1">
      <c r="A50" s="414" t="s">
        <v>212</v>
      </c>
      <c r="B50" s="407"/>
      <c r="C50" s="410" t="s">
        <v>255</v>
      </c>
      <c r="D50" s="411"/>
      <c r="E50" s="411"/>
      <c r="F50" s="411"/>
      <c r="G50" s="412"/>
      <c r="H50" s="413"/>
      <c r="I50" s="153">
        <f>SUMIF(H4:H43,"=5",I4:I43)</f>
        <v>0</v>
      </c>
      <c r="J50" s="154">
        <f>SUMIF(H4:H43,"=5",J4:J43)</f>
        <v>0</v>
      </c>
      <c r="K50" s="154">
        <f>SUMIF(H4:H43,"=5",K4:K43)</f>
        <v>0</v>
      </c>
      <c r="L50" s="155">
        <f>SUMIF(H4:H43,"=5",L4:L43)</f>
        <v>0</v>
      </c>
      <c r="M50" s="250"/>
    </row>
    <row r="51" spans="1:13" ht="15" customHeight="1" thickBot="1">
      <c r="A51" s="406"/>
      <c r="B51" s="403"/>
      <c r="C51" s="410" t="s">
        <v>220</v>
      </c>
      <c r="D51" s="412"/>
      <c r="E51" s="412"/>
      <c r="F51" s="412"/>
      <c r="G51" s="412"/>
      <c r="H51" s="413"/>
      <c r="I51" s="153">
        <f>SUMIF(H4:H43,"=6",I4:I43)</f>
        <v>0</v>
      </c>
      <c r="J51" s="154">
        <f>SUMIF(H4:H43,"=6",J4:J43)</f>
        <v>0</v>
      </c>
      <c r="K51" s="154">
        <f>SUMIF(H4:H43,"=6",K4:K43)</f>
        <v>0</v>
      </c>
      <c r="L51" s="155">
        <f>SUMIF(H4:H43,"=6",L4:L43)</f>
        <v>0</v>
      </c>
      <c r="M51" s="250"/>
    </row>
    <row r="52" spans="1:13" ht="15" customHeight="1" thickBot="1">
      <c r="A52" s="416"/>
      <c r="B52" s="417"/>
      <c r="C52" s="410" t="s">
        <v>221</v>
      </c>
      <c r="D52" s="411"/>
      <c r="E52" s="411"/>
      <c r="F52" s="411"/>
      <c r="G52" s="412"/>
      <c r="H52" s="413"/>
      <c r="I52" s="153">
        <f>SUMIF(H4:H43,"=7",I4:I43)</f>
        <v>0</v>
      </c>
      <c r="J52" s="154">
        <f>SUMIF(H4:H43,"=7",J4:J43)</f>
        <v>0</v>
      </c>
      <c r="K52" s="154">
        <f>SUMIF(H4:H43,"=7",K4:K43)</f>
        <v>0</v>
      </c>
      <c r="L52" s="155">
        <f>SUMIF(H4:H43,"=7",L4:L43)</f>
        <v>0</v>
      </c>
      <c r="M52" s="250"/>
    </row>
    <row r="53" spans="1:13" ht="15" customHeight="1" thickBot="1">
      <c r="A53" s="408" t="s">
        <v>213</v>
      </c>
      <c r="B53" s="409"/>
      <c r="C53" s="410" t="s">
        <v>254</v>
      </c>
      <c r="D53" s="411"/>
      <c r="E53" s="411"/>
      <c r="F53" s="411"/>
      <c r="G53" s="412"/>
      <c r="H53" s="413"/>
      <c r="I53" s="153">
        <f>SUMIF(H4:H43,"=8",I4:I43)</f>
        <v>0</v>
      </c>
      <c r="J53" s="154">
        <f>SUMIF(H4:H43,"=8",J4:J43)</f>
        <v>0</v>
      </c>
      <c r="K53" s="154">
        <f>SUMIF(H4:H43,"=8",K4:K43)</f>
        <v>0</v>
      </c>
      <c r="L53" s="155">
        <f>SUMIF(H4:H43,"=8",L4:L43)</f>
        <v>0</v>
      </c>
      <c r="M53" s="250"/>
    </row>
    <row r="54" spans="1:13" ht="15" customHeight="1" thickBot="1">
      <c r="A54" s="414" t="s">
        <v>214</v>
      </c>
      <c r="B54" s="415"/>
      <c r="C54" s="410" t="s">
        <v>266</v>
      </c>
      <c r="D54" s="411"/>
      <c r="E54" s="411"/>
      <c r="F54" s="411"/>
      <c r="G54" s="412"/>
      <c r="H54" s="413"/>
      <c r="I54" s="153">
        <f>SUMIF(H4:H43,"=9",I4:I43)</f>
        <v>0</v>
      </c>
      <c r="J54" s="154">
        <f>SUMIF(H4:H43,"=9",J4:J43)</f>
        <v>0</v>
      </c>
      <c r="K54" s="154">
        <f>SUMIF(H4:H43,"=9",K4:K43)</f>
        <v>0</v>
      </c>
      <c r="L54" s="155">
        <f>SUMIF(H4:H43,"=9",L4:L43)</f>
        <v>0</v>
      </c>
      <c r="M54" s="250"/>
    </row>
    <row r="55" spans="1:13" ht="15" customHeight="1" thickBot="1">
      <c r="A55" s="416"/>
      <c r="B55" s="417"/>
      <c r="C55" s="410" t="s">
        <v>267</v>
      </c>
      <c r="D55" s="411"/>
      <c r="E55" s="411"/>
      <c r="F55" s="411"/>
      <c r="G55" s="412"/>
      <c r="H55" s="413"/>
      <c r="I55" s="153">
        <f>SUMIF(H4:H43,"=10",I4:I43)</f>
        <v>0</v>
      </c>
      <c r="J55" s="154">
        <f>SUMIF(H4:H43,"=10",J4:J43)</f>
        <v>0</v>
      </c>
      <c r="K55" s="154">
        <f>SUMIF(H4:H43,"=10",K4:K43)</f>
        <v>0</v>
      </c>
      <c r="L55" s="155">
        <f>SUMIF(H4:H43,"=10",L4:L43)</f>
        <v>0</v>
      </c>
      <c r="M55" s="250"/>
    </row>
    <row r="56" spans="1:13" ht="21.75" customHeight="1" thickBot="1">
      <c r="A56" s="408" t="s">
        <v>215</v>
      </c>
      <c r="B56" s="409"/>
      <c r="C56" s="410" t="s">
        <v>268</v>
      </c>
      <c r="D56" s="411"/>
      <c r="E56" s="411"/>
      <c r="F56" s="411"/>
      <c r="G56" s="412"/>
      <c r="H56" s="413"/>
      <c r="I56" s="153">
        <f>SUMIF(H4:H43,"=11",I4:I43)</f>
        <v>0</v>
      </c>
      <c r="J56" s="154">
        <f>SUMIF(H4:H43,"=11",J4:J43)</f>
        <v>0</v>
      </c>
      <c r="K56" s="154">
        <f>SUMIF(H4:H43,"=11",K4:K43)</f>
        <v>0</v>
      </c>
      <c r="L56" s="155">
        <f>SUMIF(H4:H43,"=11",L4:L43)</f>
        <v>0</v>
      </c>
      <c r="M56" s="250"/>
    </row>
    <row r="57" ht="12.75">
      <c r="A57" s="156"/>
    </row>
    <row r="58" spans="1:13" ht="14.25" customHeight="1">
      <c r="A58" s="404" t="s">
        <v>225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227"/>
    </row>
    <row r="60" ht="12.75" hidden="1"/>
    <row r="61" spans="1:3" ht="12.75" hidden="1">
      <c r="A61" s="123" t="s">
        <v>249</v>
      </c>
      <c r="B61" s="39" t="s">
        <v>252</v>
      </c>
      <c r="C61" s="122" t="s">
        <v>280</v>
      </c>
    </row>
    <row r="62" spans="1:2" ht="12.75" hidden="1">
      <c r="A62" s="197">
        <v>0</v>
      </c>
      <c r="B62" s="196" t="s">
        <v>250</v>
      </c>
    </row>
    <row r="63" spans="1:3" ht="12.75" hidden="1">
      <c r="A63" s="195" t="s">
        <v>227</v>
      </c>
      <c r="B63" s="196">
        <v>1</v>
      </c>
      <c r="C63" s="232"/>
    </row>
    <row r="64" spans="1:3" ht="12.75" hidden="1">
      <c r="A64" s="195" t="s">
        <v>229</v>
      </c>
      <c r="B64" s="196">
        <v>1</v>
      </c>
      <c r="C64" s="232"/>
    </row>
    <row r="65" spans="1:3" ht="12.75" hidden="1">
      <c r="A65" s="195" t="s">
        <v>226</v>
      </c>
      <c r="B65" s="196">
        <v>2</v>
      </c>
      <c r="C65" s="232"/>
    </row>
    <row r="66" spans="1:3" ht="12.75" hidden="1">
      <c r="A66" s="195" t="s">
        <v>228</v>
      </c>
      <c r="B66" s="196">
        <v>2</v>
      </c>
      <c r="C66" s="232"/>
    </row>
    <row r="67" spans="1:3" ht="12.75" hidden="1">
      <c r="A67" s="195" t="s">
        <v>230</v>
      </c>
      <c r="B67" s="196">
        <v>2</v>
      </c>
      <c r="C67" s="232"/>
    </row>
    <row r="68" spans="1:3" ht="12.75" hidden="1">
      <c r="A68" s="195" t="s">
        <v>231</v>
      </c>
      <c r="B68" s="196">
        <v>3</v>
      </c>
      <c r="C68" s="232"/>
    </row>
    <row r="69" spans="1:3" ht="12.75" hidden="1">
      <c r="A69" s="195" t="s">
        <v>232</v>
      </c>
      <c r="B69" s="196">
        <v>3</v>
      </c>
      <c r="C69" s="232"/>
    </row>
    <row r="70" spans="1:3" ht="12.75" hidden="1">
      <c r="A70" s="195" t="s">
        <v>233</v>
      </c>
      <c r="B70" s="196">
        <v>4</v>
      </c>
      <c r="C70" s="232"/>
    </row>
    <row r="71" spans="1:3" ht="12.75" hidden="1">
      <c r="A71" s="195" t="s">
        <v>234</v>
      </c>
      <c r="B71" s="196">
        <v>5</v>
      </c>
      <c r="C71" s="232"/>
    </row>
    <row r="72" spans="1:3" ht="12.75" hidden="1">
      <c r="A72" s="195" t="s">
        <v>238</v>
      </c>
      <c r="B72" s="196">
        <v>5</v>
      </c>
      <c r="C72" s="232"/>
    </row>
    <row r="73" spans="1:3" ht="12.75" hidden="1">
      <c r="A73" s="195" t="s">
        <v>235</v>
      </c>
      <c r="B73" s="196">
        <v>5</v>
      </c>
      <c r="C73" s="232"/>
    </row>
    <row r="74" spans="1:3" ht="12.75" hidden="1">
      <c r="A74" s="195" t="s">
        <v>251</v>
      </c>
      <c r="B74" s="196">
        <v>5</v>
      </c>
      <c r="C74" s="232"/>
    </row>
    <row r="75" spans="1:3" ht="12.75" hidden="1">
      <c r="A75" s="195" t="s">
        <v>236</v>
      </c>
      <c r="B75" s="196">
        <v>5</v>
      </c>
      <c r="C75" s="232"/>
    </row>
    <row r="76" spans="1:3" ht="12.75" hidden="1">
      <c r="A76" s="195" t="s">
        <v>237</v>
      </c>
      <c r="B76" s="196">
        <v>5</v>
      </c>
      <c r="C76" s="232"/>
    </row>
    <row r="77" spans="1:3" ht="12.75" hidden="1">
      <c r="A77" s="195" t="s">
        <v>239</v>
      </c>
      <c r="B77" s="196">
        <v>6</v>
      </c>
      <c r="C77" s="232"/>
    </row>
    <row r="78" spans="1:2" ht="12.75" hidden="1">
      <c r="A78" s="195" t="s">
        <v>240</v>
      </c>
      <c r="B78" s="196">
        <v>7</v>
      </c>
    </row>
    <row r="79" spans="1:2" ht="12.75" hidden="1">
      <c r="A79" s="195" t="s">
        <v>256</v>
      </c>
      <c r="B79" s="196">
        <v>8</v>
      </c>
    </row>
    <row r="80" spans="1:2" ht="12.75" hidden="1">
      <c r="A80" s="195" t="s">
        <v>241</v>
      </c>
      <c r="B80" s="196">
        <v>8</v>
      </c>
    </row>
    <row r="81" spans="1:2" ht="12.75" hidden="1">
      <c r="A81" s="195" t="s">
        <v>242</v>
      </c>
      <c r="B81" s="196">
        <v>8</v>
      </c>
    </row>
    <row r="82" spans="1:2" ht="12.75" hidden="1">
      <c r="A82" s="195" t="s">
        <v>243</v>
      </c>
      <c r="B82" s="196">
        <v>9</v>
      </c>
    </row>
    <row r="83" spans="1:2" ht="12.75" hidden="1">
      <c r="A83" s="195" t="s">
        <v>244</v>
      </c>
      <c r="B83" s="196">
        <v>10</v>
      </c>
    </row>
    <row r="84" spans="1:2" ht="12.75" hidden="1">
      <c r="A84" s="195" t="s">
        <v>245</v>
      </c>
      <c r="B84" s="196">
        <v>10</v>
      </c>
    </row>
    <row r="85" spans="1:2" ht="12.75" hidden="1">
      <c r="A85" s="195" t="s">
        <v>246</v>
      </c>
      <c r="B85" s="196">
        <v>10</v>
      </c>
    </row>
    <row r="86" spans="1:2" ht="12.75" hidden="1">
      <c r="A86" s="195" t="s">
        <v>247</v>
      </c>
      <c r="B86" s="196">
        <v>11</v>
      </c>
    </row>
    <row r="87" spans="1:2" ht="12.75" hidden="1">
      <c r="A87" s="195" t="s">
        <v>248</v>
      </c>
      <c r="B87" s="196">
        <v>11</v>
      </c>
    </row>
    <row r="88" ht="12.75" hidden="1"/>
    <row r="89" ht="12.75" hidden="1"/>
    <row r="90" ht="12.75" hidden="1"/>
    <row r="91" ht="12.75" hidden="1">
      <c r="A91" s="217" t="s">
        <v>269</v>
      </c>
    </row>
    <row r="92" ht="12.75" hidden="1">
      <c r="A92" t="s">
        <v>99</v>
      </c>
    </row>
    <row r="93" ht="12.75" hidden="1">
      <c r="A93" t="s">
        <v>270</v>
      </c>
    </row>
    <row r="94" ht="12.75" hidden="1">
      <c r="A94" t="s">
        <v>271</v>
      </c>
    </row>
    <row r="95" ht="12.75" hidden="1"/>
    <row r="96" ht="12.75" hidden="1"/>
  </sheetData>
  <sheetProtection/>
  <mergeCells count="41">
    <mergeCell ref="G2:M2"/>
    <mergeCell ref="O2:T2"/>
    <mergeCell ref="Y2:AD2"/>
    <mergeCell ref="A44:B44"/>
    <mergeCell ref="F2:F3"/>
    <mergeCell ref="N2:N3"/>
    <mergeCell ref="C48:H48"/>
    <mergeCell ref="A47:B49"/>
    <mergeCell ref="A45:B45"/>
    <mergeCell ref="C44:E45"/>
    <mergeCell ref="A46:B46"/>
    <mergeCell ref="G44:H44"/>
    <mergeCell ref="G45:H45"/>
    <mergeCell ref="C46:H46"/>
    <mergeCell ref="C47:H47"/>
    <mergeCell ref="A58:L58"/>
    <mergeCell ref="D2:D3"/>
    <mergeCell ref="A1:L1"/>
    <mergeCell ref="A2:A3"/>
    <mergeCell ref="B2:B3"/>
    <mergeCell ref="C2:C3"/>
    <mergeCell ref="E2:E3"/>
    <mergeCell ref="J45:K45"/>
    <mergeCell ref="C55:H55"/>
    <mergeCell ref="C49:H49"/>
    <mergeCell ref="A56:B56"/>
    <mergeCell ref="C56:H56"/>
    <mergeCell ref="A54:B55"/>
    <mergeCell ref="A50:B52"/>
    <mergeCell ref="A53:B53"/>
    <mergeCell ref="C53:H53"/>
    <mergeCell ref="C54:H54"/>
    <mergeCell ref="C50:H50"/>
    <mergeCell ref="C51:H51"/>
    <mergeCell ref="C52:H52"/>
    <mergeCell ref="AK2:AK3"/>
    <mergeCell ref="AL2:AL3"/>
    <mergeCell ref="U2:W2"/>
    <mergeCell ref="AI2:AI3"/>
    <mergeCell ref="AJ2:AJ3"/>
    <mergeCell ref="AE2:AG2"/>
  </mergeCells>
  <dataValidations count="2">
    <dataValidation type="list" allowBlank="1" showInputMessage="1" showErrorMessage="1" sqref="F4:F43">
      <formula1>Superfici!$A$92:$A$94</formula1>
    </dataValidation>
    <dataValidation errorStyle="warning" type="list" allowBlank="1" showErrorMessage="1" errorTitle="ATTENZIONE!" error="Inserisci un valore dall'elenco" sqref="G4:G43">
      <formula1>Superfici!$A$62:$A$87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3"/>
  <headerFooter alignWithMargins="0">
    <oddHeader>&amp;C&amp;A&amp;RCOMUNE DI CARPI
Servizio Edilizia Privata</oddHeader>
    <oddFooter>&amp;L&amp;F&amp;R&amp;D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I3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20.28125" style="0" customWidth="1"/>
    <col min="2" max="2" width="7.140625" style="145" customWidth="1"/>
    <col min="3" max="5" width="8.8515625" style="145" customWidth="1"/>
    <col min="6" max="6" width="9.7109375" style="145" customWidth="1"/>
    <col min="7" max="7" width="8.8515625" style="145" customWidth="1"/>
    <col min="8" max="8" width="11.140625" style="145" customWidth="1"/>
    <col min="9" max="9" width="22.7109375" style="0" customWidth="1"/>
  </cols>
  <sheetData>
    <row r="1" spans="1:9" ht="15.75">
      <c r="A1" s="592" t="s">
        <v>150</v>
      </c>
      <c r="B1" s="592"/>
      <c r="C1" s="592"/>
      <c r="D1" s="592"/>
      <c r="E1" s="592"/>
      <c r="F1" s="592"/>
      <c r="G1" s="592"/>
      <c r="H1" s="592"/>
      <c r="I1" s="592"/>
    </row>
    <row r="2" spans="1:9" ht="22.5">
      <c r="A2" s="139" t="s">
        <v>126</v>
      </c>
      <c r="B2" s="140" t="s">
        <v>151</v>
      </c>
      <c r="C2" s="141" t="s">
        <v>152</v>
      </c>
      <c r="D2" s="141" t="s">
        <v>153</v>
      </c>
      <c r="E2" s="141" t="s">
        <v>154</v>
      </c>
      <c r="F2" s="142" t="s">
        <v>155</v>
      </c>
      <c r="G2" s="141" t="s">
        <v>156</v>
      </c>
      <c r="H2" s="143" t="s">
        <v>157</v>
      </c>
      <c r="I2" s="144" t="s">
        <v>158</v>
      </c>
    </row>
    <row r="3" spans="1:8" ht="12.75">
      <c r="A3" t="s">
        <v>164</v>
      </c>
      <c r="E3" s="145">
        <f>SUM(B3*C3*D3)</f>
        <v>0</v>
      </c>
      <c r="H3" s="145">
        <f>SUM(E3*G3)</f>
        <v>0</v>
      </c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Header>&amp;C&amp;A</oddHeader>
    <oddFooter>&amp;L&amp;F&amp;R&amp;D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4"/>
  <sheetViews>
    <sheetView zoomScalePageLayoutView="0" workbookViewId="0" topLeftCell="A1">
      <selection activeCell="D5" sqref="D5"/>
    </sheetView>
  </sheetViews>
  <sheetFormatPr defaultColWidth="8.8515625" defaultRowHeight="12.75"/>
  <cols>
    <col min="5" max="5" width="10.421875" style="0" customWidth="1"/>
    <col min="6" max="6" width="13.7109375" style="0" customWidth="1"/>
  </cols>
  <sheetData>
    <row r="1" spans="1:6" ht="12.75">
      <c r="A1" s="575" t="s">
        <v>159</v>
      </c>
      <c r="B1" s="575"/>
      <c r="C1" s="575"/>
      <c r="D1" s="575"/>
      <c r="E1" s="575"/>
      <c r="F1" s="575"/>
    </row>
    <row r="2" spans="1:6" ht="12.75">
      <c r="A2" s="118" t="s">
        <v>160</v>
      </c>
      <c r="B2" s="593" t="s">
        <v>161</v>
      </c>
      <c r="C2" s="593"/>
      <c r="D2" s="593"/>
      <c r="E2" s="146" t="s">
        <v>162</v>
      </c>
      <c r="F2" s="146" t="s">
        <v>163</v>
      </c>
    </row>
    <row r="3" spans="2:6" ht="12.75">
      <c r="B3" s="119" t="s">
        <v>165</v>
      </c>
      <c r="C3" s="119" t="s">
        <v>166</v>
      </c>
      <c r="D3" s="119" t="s">
        <v>167</v>
      </c>
      <c r="E3" s="145"/>
      <c r="F3" s="145"/>
    </row>
    <row r="4" spans="1:6" ht="12.75">
      <c r="A4">
        <v>1</v>
      </c>
      <c r="B4" s="119">
        <v>16</v>
      </c>
      <c r="C4" s="119">
        <v>20.09</v>
      </c>
      <c r="D4" s="119">
        <v>29</v>
      </c>
      <c r="E4" s="145">
        <f>SUM(B4:D4)/2</f>
        <v>32.545</v>
      </c>
      <c r="F4" s="145">
        <f>SUM(SQRT(E4*(E4-B4)*(E4-C4)*(E4-D4)))</f>
        <v>154.18975181055126</v>
      </c>
    </row>
  </sheetData>
  <sheetProtection/>
  <mergeCells count="2">
    <mergeCell ref="A1:F1"/>
    <mergeCell ref="B2:D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  <oddFooter>&amp;L&amp;F&amp;R&amp;D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29"/>
  <sheetViews>
    <sheetView zoomScalePageLayoutView="0" workbookViewId="0" topLeftCell="A1">
      <selection activeCell="G21" sqref="G21"/>
    </sheetView>
  </sheetViews>
  <sheetFormatPr defaultColWidth="8.8515625" defaultRowHeight="12.75"/>
  <cols>
    <col min="1" max="1" width="8.7109375" style="0" customWidth="1"/>
    <col min="2" max="2" width="16.8515625" style="0" customWidth="1"/>
    <col min="3" max="3" width="9.7109375" style="0" customWidth="1"/>
    <col min="4" max="4" width="13.421875" style="0" customWidth="1"/>
    <col min="5" max="5" width="11.7109375" style="0" customWidth="1"/>
    <col min="6" max="6" width="13.28125" style="173" customWidth="1"/>
    <col min="7" max="7" width="11.7109375" style="0" customWidth="1"/>
    <col min="8" max="8" width="7.421875" style="174" customWidth="1"/>
    <col min="9" max="9" width="13.140625" style="0" customWidth="1"/>
  </cols>
  <sheetData>
    <row r="1" spans="1:9" ht="39.75" customHeight="1">
      <c r="A1" s="607" t="s">
        <v>176</v>
      </c>
      <c r="B1" s="403"/>
      <c r="C1" s="403"/>
      <c r="D1" s="403"/>
      <c r="E1" s="403"/>
      <c r="F1" s="403"/>
      <c r="G1" s="403"/>
      <c r="H1" s="403"/>
      <c r="I1" s="403"/>
    </row>
    <row r="2" spans="1:9" ht="33.75">
      <c r="A2" s="608" t="s">
        <v>177</v>
      </c>
      <c r="B2" s="583" t="s">
        <v>178</v>
      </c>
      <c r="C2" s="610"/>
      <c r="D2" s="610"/>
      <c r="E2" s="160" t="s">
        <v>179</v>
      </c>
      <c r="F2" s="160" t="s">
        <v>253</v>
      </c>
      <c r="G2" s="160" t="s">
        <v>180</v>
      </c>
      <c r="H2" s="161" t="s">
        <v>181</v>
      </c>
      <c r="I2" s="160" t="s">
        <v>182</v>
      </c>
    </row>
    <row r="3" spans="1:9" ht="12.75">
      <c r="A3" s="609"/>
      <c r="B3" s="594" t="s">
        <v>183</v>
      </c>
      <c r="C3" s="595"/>
      <c r="D3" s="595"/>
      <c r="E3" s="208"/>
      <c r="F3" s="208"/>
      <c r="G3" s="162">
        <f>SUM(E3-F3)</f>
        <v>0</v>
      </c>
      <c r="H3" s="163">
        <v>1</v>
      </c>
      <c r="I3" s="162">
        <f>SUM(G3*H3)</f>
        <v>0</v>
      </c>
    </row>
    <row r="4" spans="1:9" ht="12.75">
      <c r="A4" s="609"/>
      <c r="B4" s="594" t="s">
        <v>184</v>
      </c>
      <c r="C4" s="595"/>
      <c r="D4" s="595"/>
      <c r="E4" s="208"/>
      <c r="F4" s="208"/>
      <c r="G4" s="162">
        <f aca="true" t="shared" si="0" ref="G4:G10">SUM(E4-F4)</f>
        <v>0</v>
      </c>
      <c r="H4" s="163">
        <v>1.1</v>
      </c>
      <c r="I4" s="162">
        <f aca="true" t="shared" si="1" ref="I4:I10">SUM(G4*H4)</f>
        <v>0</v>
      </c>
    </row>
    <row r="5" spans="1:9" ht="12.75">
      <c r="A5" s="609"/>
      <c r="B5" s="594" t="s">
        <v>185</v>
      </c>
      <c r="C5" s="595"/>
      <c r="D5" s="595"/>
      <c r="E5" s="208"/>
      <c r="F5" s="208"/>
      <c r="G5" s="162">
        <f t="shared" si="0"/>
        <v>0</v>
      </c>
      <c r="H5" s="163">
        <v>1.2</v>
      </c>
      <c r="I5" s="162">
        <f t="shared" si="1"/>
        <v>0</v>
      </c>
    </row>
    <row r="6" spans="1:9" ht="12.75">
      <c r="A6" s="609"/>
      <c r="B6" s="594" t="s">
        <v>186</v>
      </c>
      <c r="C6" s="595"/>
      <c r="D6" s="595"/>
      <c r="E6" s="208"/>
      <c r="F6" s="208"/>
      <c r="G6" s="162">
        <f t="shared" si="0"/>
        <v>0</v>
      </c>
      <c r="H6" s="163">
        <v>0.5</v>
      </c>
      <c r="I6" s="162">
        <f t="shared" si="1"/>
        <v>0</v>
      </c>
    </row>
    <row r="7" spans="1:9" ht="12.75">
      <c r="A7" s="609"/>
      <c r="B7" s="594" t="s">
        <v>187</v>
      </c>
      <c r="C7" s="595"/>
      <c r="D7" s="595"/>
      <c r="E7" s="208"/>
      <c r="F7" s="208"/>
      <c r="G7" s="162">
        <f t="shared" si="0"/>
        <v>0</v>
      </c>
      <c r="H7" s="163">
        <v>0.2</v>
      </c>
      <c r="I7" s="162">
        <f t="shared" si="1"/>
        <v>0</v>
      </c>
    </row>
    <row r="8" spans="1:9" ht="12.75">
      <c r="A8" s="609"/>
      <c r="B8" s="181" t="s">
        <v>188</v>
      </c>
      <c r="C8" s="164"/>
      <c r="D8" s="164"/>
      <c r="E8" s="208"/>
      <c r="F8" s="208"/>
      <c r="G8" s="162">
        <f t="shared" si="0"/>
        <v>0</v>
      </c>
      <c r="H8" s="163">
        <v>0.25</v>
      </c>
      <c r="I8" s="162">
        <f t="shared" si="1"/>
        <v>0</v>
      </c>
    </row>
    <row r="9" spans="1:9" ht="12.75">
      <c r="A9" s="609"/>
      <c r="B9" s="181" t="s">
        <v>189</v>
      </c>
      <c r="C9" s="164"/>
      <c r="D9" s="164"/>
      <c r="E9" s="208"/>
      <c r="F9" s="208"/>
      <c r="G9" s="162">
        <f t="shared" si="0"/>
        <v>0</v>
      </c>
      <c r="H9" s="163">
        <v>0.15</v>
      </c>
      <c r="I9" s="162">
        <f t="shared" si="1"/>
        <v>0</v>
      </c>
    </row>
    <row r="10" spans="1:9" ht="12.75">
      <c r="A10" s="609"/>
      <c r="B10" s="181" t="s">
        <v>190</v>
      </c>
      <c r="C10" s="164"/>
      <c r="D10" s="164"/>
      <c r="E10" s="208"/>
      <c r="F10" s="208"/>
      <c r="G10" s="162">
        <f t="shared" si="0"/>
        <v>0</v>
      </c>
      <c r="H10" s="163">
        <v>0.1</v>
      </c>
      <c r="I10" s="162">
        <f t="shared" si="1"/>
        <v>0</v>
      </c>
    </row>
    <row r="11" spans="1:9" ht="12.75">
      <c r="A11" s="609"/>
      <c r="B11" s="596"/>
      <c r="C11" s="597"/>
      <c r="D11" s="597"/>
      <c r="E11" s="597"/>
      <c r="F11" s="597"/>
      <c r="G11" s="597"/>
      <c r="H11" s="597"/>
      <c r="I11" s="595"/>
    </row>
    <row r="12" spans="1:9" ht="12.75">
      <c r="A12" s="609"/>
      <c r="B12" s="37"/>
      <c r="C12" s="37"/>
      <c r="D12" s="37"/>
      <c r="E12" s="37"/>
      <c r="F12" s="175" t="s">
        <v>191</v>
      </c>
      <c r="G12" s="37"/>
      <c r="H12" s="159"/>
      <c r="I12" s="180">
        <f>SUM(I3:I11)</f>
        <v>0</v>
      </c>
    </row>
    <row r="13" spans="1:9" ht="12.75">
      <c r="A13" s="176"/>
      <c r="B13" s="176"/>
      <c r="C13" s="176"/>
      <c r="D13" s="176"/>
      <c r="E13" s="176"/>
      <c r="F13" s="177"/>
      <c r="G13" s="176"/>
      <c r="H13" s="178"/>
      <c r="I13" s="176"/>
    </row>
    <row r="14" spans="1:9" ht="12.75">
      <c r="A14" s="611" t="s">
        <v>192</v>
      </c>
      <c r="B14" s="601" t="s">
        <v>193</v>
      </c>
      <c r="C14" s="600"/>
      <c r="D14" s="602"/>
      <c r="E14" s="182">
        <f>SUM(I14/1936.27)</f>
        <v>129.1142247723716</v>
      </c>
      <c r="F14" s="183" t="s">
        <v>28</v>
      </c>
      <c r="G14" s="37"/>
      <c r="H14" s="207" t="s">
        <v>121</v>
      </c>
      <c r="I14" s="206">
        <v>250000</v>
      </c>
    </row>
    <row r="15" spans="1:9" ht="12.75">
      <c r="A15" s="611"/>
      <c r="B15" s="37"/>
      <c r="C15" s="37"/>
      <c r="D15" s="37"/>
      <c r="E15" s="37"/>
      <c r="F15" s="175"/>
      <c r="G15" s="37"/>
      <c r="H15" s="159"/>
      <c r="I15" s="37"/>
    </row>
    <row r="16" spans="1:9" ht="12.75">
      <c r="A16" s="611"/>
      <c r="B16" s="601" t="s">
        <v>194</v>
      </c>
      <c r="C16" s="600"/>
      <c r="D16" s="602"/>
      <c r="E16" s="293">
        <v>103</v>
      </c>
      <c r="F16" s="603" t="s">
        <v>443</v>
      </c>
      <c r="G16" s="604"/>
      <c r="H16" s="159"/>
      <c r="I16" s="37"/>
    </row>
    <row r="17" spans="1:9" ht="12.75">
      <c r="A17" s="611"/>
      <c r="B17" s="600" t="s">
        <v>195</v>
      </c>
      <c r="C17" s="600"/>
      <c r="D17" s="600"/>
      <c r="E17" s="275">
        <f>indici!M18</f>
        <v>209.2</v>
      </c>
      <c r="F17" s="598" t="s">
        <v>312</v>
      </c>
      <c r="G17" s="599"/>
      <c r="H17" s="159"/>
      <c r="I17" s="37"/>
    </row>
    <row r="18" spans="1:9" ht="12.75">
      <c r="A18" s="611"/>
      <c r="B18" s="117"/>
      <c r="C18" s="117"/>
      <c r="D18" s="117"/>
      <c r="E18" s="203"/>
      <c r="F18" s="204"/>
      <c r="G18" s="203"/>
      <c r="H18" s="159"/>
      <c r="I18" s="37"/>
    </row>
    <row r="19" spans="1:9" ht="12.75">
      <c r="A19" s="611"/>
      <c r="B19" s="600" t="s">
        <v>442</v>
      </c>
      <c r="C19" s="600"/>
      <c r="D19" s="600"/>
      <c r="E19" s="205">
        <f>indici!I79</f>
        <v>20.5131</v>
      </c>
      <c r="F19" s="204"/>
      <c r="G19" s="203"/>
      <c r="H19" s="159"/>
      <c r="I19" s="37"/>
    </row>
    <row r="20" spans="1:9" ht="12.75">
      <c r="A20" s="611"/>
      <c r="B20" s="37"/>
      <c r="C20" s="37"/>
      <c r="D20" s="37"/>
      <c r="E20" s="37"/>
      <c r="F20" s="175"/>
      <c r="G20" s="37"/>
      <c r="H20" s="159"/>
      <c r="I20" s="179" t="s">
        <v>28</v>
      </c>
    </row>
    <row r="21" spans="1:9" ht="12.75">
      <c r="A21" s="611"/>
      <c r="B21" s="37"/>
      <c r="C21" s="37"/>
      <c r="D21" s="37"/>
      <c r="E21" s="605" t="s">
        <v>196</v>
      </c>
      <c r="F21" s="606"/>
      <c r="G21" s="167">
        <f>((E16/E17*E19)-1)*1</f>
        <v>9.099662045889103</v>
      </c>
      <c r="H21" s="165" t="s">
        <v>13</v>
      </c>
      <c r="I21" s="168">
        <f>SUM(E14*G21+E14)</f>
        <v>1304.0100355179163</v>
      </c>
    </row>
    <row r="22" spans="1:9" ht="12.75">
      <c r="A22" s="176"/>
      <c r="B22" s="176"/>
      <c r="C22" s="176"/>
      <c r="D22" s="176"/>
      <c r="E22" s="176"/>
      <c r="F22" s="177"/>
      <c r="G22" s="176"/>
      <c r="H22" s="178"/>
      <c r="I22" s="176"/>
    </row>
    <row r="23" spans="1:9" ht="38.25" customHeight="1">
      <c r="A23" s="612" t="s">
        <v>197</v>
      </c>
      <c r="B23" s="160" t="s">
        <v>198</v>
      </c>
      <c r="C23" s="160" t="s">
        <v>199</v>
      </c>
      <c r="D23" s="160" t="s">
        <v>200</v>
      </c>
      <c r="E23" s="160" t="s">
        <v>201</v>
      </c>
      <c r="F23" s="160" t="s">
        <v>202</v>
      </c>
      <c r="G23" s="160" t="s">
        <v>203</v>
      </c>
      <c r="H23" s="161" t="s">
        <v>204</v>
      </c>
      <c r="I23" s="169" t="s">
        <v>205</v>
      </c>
    </row>
    <row r="24" spans="1:9" ht="12.75">
      <c r="A24" s="612"/>
      <c r="B24" s="164"/>
      <c r="C24" s="200"/>
      <c r="D24" s="200"/>
      <c r="E24" s="200"/>
      <c r="F24" s="200"/>
      <c r="G24" s="200"/>
      <c r="H24" s="201"/>
      <c r="I24" s="166" t="s">
        <v>28</v>
      </c>
    </row>
    <row r="25" spans="1:9" ht="23.25" customHeight="1">
      <c r="A25" s="612"/>
      <c r="B25" s="170">
        <f>I21</f>
        <v>1304.0100355179163</v>
      </c>
      <c r="C25" s="202">
        <v>1</v>
      </c>
      <c r="D25" s="202">
        <v>0.95</v>
      </c>
      <c r="E25" s="202">
        <v>1</v>
      </c>
      <c r="F25" s="202">
        <v>1</v>
      </c>
      <c r="G25" s="202">
        <v>1</v>
      </c>
      <c r="H25" s="202">
        <v>1</v>
      </c>
      <c r="I25" s="171">
        <f>SUM(B25*C25*D25*E25*F25*G25*H25)</f>
        <v>1238.8095337420204</v>
      </c>
    </row>
    <row r="26" spans="1:9" ht="12.75">
      <c r="A26" s="176"/>
      <c r="B26" s="176"/>
      <c r="C26" s="176"/>
      <c r="D26" s="176"/>
      <c r="E26" s="176"/>
      <c r="F26" s="177"/>
      <c r="G26" s="176"/>
      <c r="H26" s="178"/>
      <c r="I26" s="176"/>
    </row>
    <row r="27" spans="1:9" ht="45">
      <c r="A27" s="608" t="s">
        <v>206</v>
      </c>
      <c r="B27" s="184" t="s">
        <v>182</v>
      </c>
      <c r="C27" s="160"/>
      <c r="D27" s="169" t="s">
        <v>207</v>
      </c>
      <c r="E27" s="160"/>
      <c r="F27" s="169" t="s">
        <v>208</v>
      </c>
      <c r="G27" s="160"/>
      <c r="H27" s="613" t="s">
        <v>209</v>
      </c>
      <c r="I27" s="614"/>
    </row>
    <row r="28" spans="1:9" ht="12.75">
      <c r="A28" s="609"/>
      <c r="B28" s="37"/>
      <c r="C28" s="37"/>
      <c r="D28" s="37"/>
      <c r="E28" s="37"/>
      <c r="F28" s="175"/>
      <c r="G28" s="37"/>
      <c r="H28" s="615" t="s">
        <v>28</v>
      </c>
      <c r="I28" s="600"/>
    </row>
    <row r="29" spans="1:9" ht="18">
      <c r="A29" s="609"/>
      <c r="B29" s="357">
        <f>$I$12</f>
        <v>0</v>
      </c>
      <c r="C29" s="172" t="s">
        <v>23</v>
      </c>
      <c r="D29" s="358">
        <f>I25</f>
        <v>1238.8095337420204</v>
      </c>
      <c r="E29" s="172" t="s">
        <v>23</v>
      </c>
      <c r="F29" s="199">
        <v>1</v>
      </c>
      <c r="G29" s="172" t="s">
        <v>13</v>
      </c>
      <c r="H29" s="616">
        <f>SUM(B29*D29*F29)</f>
        <v>0</v>
      </c>
      <c r="I29" s="617"/>
    </row>
    <row r="30" ht="12.75"/>
    <row r="31" ht="12.75"/>
    <row r="32" ht="12.75"/>
  </sheetData>
  <sheetProtection/>
  <mergeCells count="22">
    <mergeCell ref="A23:A25"/>
    <mergeCell ref="A27:A29"/>
    <mergeCell ref="H27:I27"/>
    <mergeCell ref="H28:I28"/>
    <mergeCell ref="H29:I29"/>
    <mergeCell ref="E21:F21"/>
    <mergeCell ref="A1:I1"/>
    <mergeCell ref="A2:A12"/>
    <mergeCell ref="B2:D2"/>
    <mergeCell ref="B3:D3"/>
    <mergeCell ref="B4:D4"/>
    <mergeCell ref="B5:D5"/>
    <mergeCell ref="B6:D6"/>
    <mergeCell ref="A14:A21"/>
    <mergeCell ref="B14:D14"/>
    <mergeCell ref="B7:D7"/>
    <mergeCell ref="B11:I11"/>
    <mergeCell ref="F17:G17"/>
    <mergeCell ref="B19:D19"/>
    <mergeCell ref="B16:D16"/>
    <mergeCell ref="F16:G16"/>
    <mergeCell ref="B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3"/>
  <headerFooter alignWithMargins="0">
    <oddHeader>&amp;C&amp;A</oddHeader>
    <oddFooter>&amp;L&amp;F&amp;R&amp;D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K87" sqref="K87"/>
    </sheetView>
  </sheetViews>
  <sheetFormatPr defaultColWidth="8.8515625" defaultRowHeight="12.75"/>
  <cols>
    <col min="1" max="13" width="8.7109375" style="341" customWidth="1"/>
    <col min="14" max="14" width="8.7109375" style="388" customWidth="1"/>
  </cols>
  <sheetData>
    <row r="1" spans="1:14" ht="15.75">
      <c r="A1" s="621" t="s">
        <v>314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14" ht="15.75">
      <c r="A2" s="622" t="s">
        <v>315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4" ht="15.75">
      <c r="A3"/>
      <c r="B3" s="295"/>
      <c r="C3"/>
      <c r="D3" s="295"/>
      <c r="E3" s="295"/>
      <c r="F3" s="296"/>
      <c r="G3" s="297"/>
      <c r="H3" s="298"/>
      <c r="I3"/>
      <c r="J3" s="295"/>
      <c r="K3" s="295"/>
      <c r="L3" s="295"/>
      <c r="M3" s="295"/>
      <c r="N3" s="377"/>
    </row>
    <row r="4" spans="1:14" ht="18.75">
      <c r="A4" s="623" t="s">
        <v>316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</row>
    <row r="5" spans="1:14" ht="18.75">
      <c r="A5" s="623" t="s">
        <v>317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</row>
    <row r="6" spans="1:14" ht="12.75">
      <c r="A6" s="299"/>
      <c r="B6" s="300"/>
      <c r="C6" s="301"/>
      <c r="D6" s="301"/>
      <c r="E6" s="301"/>
      <c r="F6" s="295"/>
      <c r="G6"/>
      <c r="H6"/>
      <c r="I6"/>
      <c r="J6" s="295"/>
      <c r="K6" s="295"/>
      <c r="L6" s="295"/>
      <c r="M6" s="295"/>
      <c r="N6" s="377"/>
    </row>
    <row r="7" spans="1:14" ht="12.75">
      <c r="A7" s="302" t="s">
        <v>318</v>
      </c>
      <c r="B7" s="303" t="s">
        <v>319</v>
      </c>
      <c r="C7" s="303" t="s">
        <v>320</v>
      </c>
      <c r="D7" s="303" t="s">
        <v>321</v>
      </c>
      <c r="E7" s="303" t="s">
        <v>322</v>
      </c>
      <c r="F7" s="303" t="s">
        <v>323</v>
      </c>
      <c r="G7" s="303" t="s">
        <v>324</v>
      </c>
      <c r="H7" s="303" t="s">
        <v>325</v>
      </c>
      <c r="I7" s="303" t="s">
        <v>326</v>
      </c>
      <c r="J7" s="303" t="s">
        <v>327</v>
      </c>
      <c r="K7" s="303" t="s">
        <v>328</v>
      </c>
      <c r="L7" s="304" t="s">
        <v>329</v>
      </c>
      <c r="M7" s="305" t="s">
        <v>330</v>
      </c>
      <c r="N7" s="378" t="s">
        <v>331</v>
      </c>
    </row>
    <row r="8" spans="1:14" ht="12.75">
      <c r="A8" s="306"/>
      <c r="B8" s="307"/>
      <c r="C8" s="307"/>
      <c r="D8" s="308"/>
      <c r="E8" s="309"/>
      <c r="F8" s="309"/>
      <c r="G8" s="310" t="s">
        <v>332</v>
      </c>
      <c r="H8" s="310"/>
      <c r="I8" s="311"/>
      <c r="J8" s="307"/>
      <c r="K8" s="307"/>
      <c r="L8" s="307"/>
      <c r="M8" s="307"/>
      <c r="N8" s="379"/>
    </row>
    <row r="9" spans="1:14" ht="12.75">
      <c r="A9" s="312">
        <v>1967</v>
      </c>
      <c r="B9" s="313">
        <v>103</v>
      </c>
      <c r="C9" s="313">
        <v>103.3</v>
      </c>
      <c r="D9" s="313">
        <v>103.3</v>
      </c>
      <c r="E9" s="313">
        <v>103.4</v>
      </c>
      <c r="F9" s="313">
        <v>103.5</v>
      </c>
      <c r="G9" s="313">
        <v>103.6</v>
      </c>
      <c r="H9" s="313">
        <v>103.6</v>
      </c>
      <c r="I9" s="313">
        <v>104</v>
      </c>
      <c r="J9" s="313">
        <v>103.9</v>
      </c>
      <c r="K9" s="313">
        <v>103.9</v>
      </c>
      <c r="L9" s="313">
        <v>104.2</v>
      </c>
      <c r="M9" s="314">
        <v>104.2</v>
      </c>
      <c r="N9" s="380">
        <v>103.7</v>
      </c>
    </row>
    <row r="10" spans="1:14" ht="12.75">
      <c r="A10" s="312">
        <v>1968</v>
      </c>
      <c r="B10" s="315">
        <v>105.9</v>
      </c>
      <c r="C10" s="315">
        <v>106.2</v>
      </c>
      <c r="D10" s="315">
        <v>106.3</v>
      </c>
      <c r="E10" s="315">
        <v>106.4</v>
      </c>
      <c r="F10" s="315">
        <v>106.4</v>
      </c>
      <c r="G10" s="315">
        <v>106.5</v>
      </c>
      <c r="H10" s="315">
        <v>106.6</v>
      </c>
      <c r="I10" s="315">
        <v>107.2</v>
      </c>
      <c r="J10" s="315">
        <v>107.3</v>
      </c>
      <c r="K10" s="315">
        <v>107.4</v>
      </c>
      <c r="L10" s="315">
        <v>107.5</v>
      </c>
      <c r="M10" s="316">
        <v>107.7</v>
      </c>
      <c r="N10" s="380">
        <v>106.8</v>
      </c>
    </row>
    <row r="11" spans="1:14" ht="12.75">
      <c r="A11" s="312">
        <v>1969</v>
      </c>
      <c r="B11" s="315">
        <v>109.9</v>
      </c>
      <c r="C11" s="315">
        <v>110.5</v>
      </c>
      <c r="D11" s="315">
        <v>110.9</v>
      </c>
      <c r="E11" s="315">
        <v>112.7</v>
      </c>
      <c r="F11" s="315">
        <v>115</v>
      </c>
      <c r="G11" s="315">
        <v>117</v>
      </c>
      <c r="H11" s="315">
        <v>118.5</v>
      </c>
      <c r="I11" s="315">
        <v>119.6</v>
      </c>
      <c r="J11" s="315">
        <v>119.9</v>
      </c>
      <c r="K11" s="315">
        <v>120.5</v>
      </c>
      <c r="L11" s="315">
        <v>121.4</v>
      </c>
      <c r="M11" s="316">
        <v>122.5</v>
      </c>
      <c r="N11" s="380">
        <v>116.5</v>
      </c>
    </row>
    <row r="12" spans="1:14" ht="12.75">
      <c r="A12" s="312">
        <v>1970</v>
      </c>
      <c r="B12" s="315">
        <v>132.3</v>
      </c>
      <c r="C12" s="315">
        <v>133.5</v>
      </c>
      <c r="D12" s="315">
        <v>134.1</v>
      </c>
      <c r="E12" s="315">
        <v>134.3</v>
      </c>
      <c r="F12" s="315">
        <v>134.5</v>
      </c>
      <c r="G12" s="315">
        <v>134.5</v>
      </c>
      <c r="H12" s="315">
        <v>134.4</v>
      </c>
      <c r="I12" s="315">
        <v>135.6</v>
      </c>
      <c r="J12" s="315">
        <v>135.5</v>
      </c>
      <c r="K12" s="315">
        <v>135.9</v>
      </c>
      <c r="L12" s="315">
        <v>136.1</v>
      </c>
      <c r="M12" s="314">
        <v>135.9</v>
      </c>
      <c r="N12" s="380">
        <v>134.7</v>
      </c>
    </row>
    <row r="13" spans="1:14" ht="12.75">
      <c r="A13" s="306"/>
      <c r="B13" s="307"/>
      <c r="C13" s="307"/>
      <c r="D13" s="308"/>
      <c r="E13" s="309"/>
      <c r="F13" s="309"/>
      <c r="G13" s="310" t="s">
        <v>333</v>
      </c>
      <c r="H13" s="310"/>
      <c r="I13" s="311"/>
      <c r="J13" s="307"/>
      <c r="K13" s="307"/>
      <c r="L13" s="307"/>
      <c r="M13" s="307"/>
      <c r="N13" s="381"/>
    </row>
    <row r="14" spans="1:14" ht="12.75">
      <c r="A14" s="312">
        <v>1971</v>
      </c>
      <c r="B14" s="313">
        <v>104.6</v>
      </c>
      <c r="C14" s="313">
        <v>105</v>
      </c>
      <c r="D14" s="313">
        <v>105</v>
      </c>
      <c r="E14" s="313">
        <v>105</v>
      </c>
      <c r="F14" s="313">
        <v>105.3</v>
      </c>
      <c r="G14" s="313">
        <v>105.3</v>
      </c>
      <c r="H14" s="313">
        <v>105.3</v>
      </c>
      <c r="I14" s="313">
        <v>105</v>
      </c>
      <c r="J14" s="313">
        <v>105.2</v>
      </c>
      <c r="K14" s="313">
        <v>105.5</v>
      </c>
      <c r="L14" s="313">
        <v>106.2</v>
      </c>
      <c r="M14" s="314">
        <v>106.4</v>
      </c>
      <c r="N14" s="380">
        <v>105.3</v>
      </c>
    </row>
    <row r="15" spans="1:14" ht="12.75">
      <c r="A15" s="312">
        <v>1972</v>
      </c>
      <c r="B15" s="315">
        <v>108.4</v>
      </c>
      <c r="C15" s="315">
        <v>109.2</v>
      </c>
      <c r="D15" s="315">
        <v>109.2</v>
      </c>
      <c r="E15" s="315">
        <v>109.3</v>
      </c>
      <c r="F15" s="315">
        <v>109.5</v>
      </c>
      <c r="G15" s="315">
        <v>109.6</v>
      </c>
      <c r="H15" s="315">
        <v>110.1</v>
      </c>
      <c r="I15" s="315">
        <v>111.2</v>
      </c>
      <c r="J15" s="315">
        <v>111.5</v>
      </c>
      <c r="K15" s="315">
        <v>112.2</v>
      </c>
      <c r="L15" s="315">
        <v>113.8</v>
      </c>
      <c r="M15" s="316">
        <v>114.2</v>
      </c>
      <c r="N15" s="380">
        <v>110.7</v>
      </c>
    </row>
    <row r="16" spans="1:14" ht="12.75">
      <c r="A16" s="312">
        <v>1973</v>
      </c>
      <c r="B16" s="315">
        <v>124.1</v>
      </c>
      <c r="C16" s="315">
        <v>126.6</v>
      </c>
      <c r="D16" s="315">
        <v>127.3</v>
      </c>
      <c r="E16" s="315">
        <v>129.2</v>
      </c>
      <c r="F16" s="315">
        <v>131.6</v>
      </c>
      <c r="G16" s="315">
        <v>133.8</v>
      </c>
      <c r="H16" s="315">
        <v>137.1</v>
      </c>
      <c r="I16" s="315">
        <v>139.9</v>
      </c>
      <c r="J16" s="315">
        <v>140.3</v>
      </c>
      <c r="K16" s="315">
        <v>141</v>
      </c>
      <c r="L16" s="315">
        <v>143.7</v>
      </c>
      <c r="M16" s="316">
        <v>145.7</v>
      </c>
      <c r="N16" s="380">
        <v>135</v>
      </c>
    </row>
    <row r="17" spans="1:14" ht="12.75">
      <c r="A17" s="312">
        <v>1974</v>
      </c>
      <c r="B17" s="315">
        <v>151.6</v>
      </c>
      <c r="C17" s="315">
        <v>155.6</v>
      </c>
      <c r="D17" s="315">
        <v>157.5</v>
      </c>
      <c r="E17" s="315">
        <v>160.5</v>
      </c>
      <c r="F17" s="315">
        <v>166.7</v>
      </c>
      <c r="G17" s="315">
        <v>171.5</v>
      </c>
      <c r="H17" s="315">
        <v>177.5</v>
      </c>
      <c r="I17" s="315">
        <v>182.9</v>
      </c>
      <c r="J17" s="315">
        <v>183.4</v>
      </c>
      <c r="K17" s="315">
        <v>185.2</v>
      </c>
      <c r="L17" s="315">
        <v>191.7</v>
      </c>
      <c r="M17" s="316">
        <v>191.4</v>
      </c>
      <c r="N17" s="380">
        <v>173</v>
      </c>
    </row>
    <row r="18" spans="1:14" ht="12.75">
      <c r="A18" s="312">
        <v>1975</v>
      </c>
      <c r="B18" s="317">
        <v>191</v>
      </c>
      <c r="C18" s="317">
        <v>201.8</v>
      </c>
      <c r="D18" s="317">
        <v>202.6</v>
      </c>
      <c r="E18" s="317">
        <v>202.5</v>
      </c>
      <c r="F18" s="317">
        <v>204.5</v>
      </c>
      <c r="G18" s="317">
        <v>203.6</v>
      </c>
      <c r="H18" s="317">
        <v>204.5</v>
      </c>
      <c r="I18" s="317">
        <v>206.6</v>
      </c>
      <c r="J18" s="317">
        <v>206.5</v>
      </c>
      <c r="K18" s="317">
        <v>207.3</v>
      </c>
      <c r="L18" s="317">
        <v>209</v>
      </c>
      <c r="M18" s="318">
        <v>209.2</v>
      </c>
      <c r="N18" s="380">
        <v>204.1</v>
      </c>
    </row>
    <row r="19" spans="1:14" ht="12.75">
      <c r="A19" s="312">
        <v>1976</v>
      </c>
      <c r="B19" s="317">
        <v>212</v>
      </c>
      <c r="C19" s="317">
        <v>217.2</v>
      </c>
      <c r="D19" s="317">
        <v>220.2</v>
      </c>
      <c r="E19" s="317">
        <v>234.7</v>
      </c>
      <c r="F19" s="317">
        <v>241.6</v>
      </c>
      <c r="G19" s="317">
        <v>243</v>
      </c>
      <c r="H19" s="317">
        <v>249.7</v>
      </c>
      <c r="I19" s="317">
        <v>257.8</v>
      </c>
      <c r="J19" s="317">
        <v>258.6</v>
      </c>
      <c r="K19" s="317">
        <v>260.2</v>
      </c>
      <c r="L19" s="317">
        <v>265.9</v>
      </c>
      <c r="M19" s="318">
        <v>266.7</v>
      </c>
      <c r="N19" s="380">
        <v>244</v>
      </c>
    </row>
    <row r="20" spans="1:14" ht="12.75">
      <c r="A20" s="306"/>
      <c r="B20" s="307"/>
      <c r="C20" s="307"/>
      <c r="D20" s="308"/>
      <c r="E20" s="309"/>
      <c r="F20" s="309"/>
      <c r="G20" s="310" t="s">
        <v>334</v>
      </c>
      <c r="H20" s="310"/>
      <c r="I20" s="311"/>
      <c r="J20" s="307"/>
      <c r="K20" s="307"/>
      <c r="L20" s="307"/>
      <c r="M20" s="307"/>
      <c r="N20" s="381"/>
    </row>
    <row r="21" spans="1:14" ht="12.75">
      <c r="A21" s="312">
        <v>1977</v>
      </c>
      <c r="B21" s="313">
        <v>109.5</v>
      </c>
      <c r="C21" s="313">
        <v>113.5</v>
      </c>
      <c r="D21" s="313">
        <v>114.5</v>
      </c>
      <c r="E21" s="313">
        <v>116.2</v>
      </c>
      <c r="F21" s="313">
        <v>119.4</v>
      </c>
      <c r="G21" s="313">
        <v>119.9</v>
      </c>
      <c r="H21" s="313">
        <v>120</v>
      </c>
      <c r="I21" s="313">
        <v>122.5</v>
      </c>
      <c r="J21" s="313">
        <v>123.3</v>
      </c>
      <c r="K21" s="313">
        <v>123.6</v>
      </c>
      <c r="L21" s="313">
        <v>125.3</v>
      </c>
      <c r="M21" s="319">
        <v>125.5</v>
      </c>
      <c r="N21" s="380">
        <v>119.4</v>
      </c>
    </row>
    <row r="22" spans="1:14" ht="12.75">
      <c r="A22" s="312">
        <v>1978</v>
      </c>
      <c r="B22" s="315">
        <v>126.9</v>
      </c>
      <c r="C22" s="315">
        <v>128.4</v>
      </c>
      <c r="D22" s="315">
        <v>128.9</v>
      </c>
      <c r="E22" s="315">
        <v>129.6</v>
      </c>
      <c r="F22" s="315">
        <v>133.3</v>
      </c>
      <c r="G22" s="315">
        <v>134.1</v>
      </c>
      <c r="H22" s="315">
        <v>134.4</v>
      </c>
      <c r="I22" s="315">
        <v>139.6</v>
      </c>
      <c r="J22" s="315">
        <v>140.6</v>
      </c>
      <c r="K22" s="315">
        <v>141.8</v>
      </c>
      <c r="L22" s="315">
        <v>144.2</v>
      </c>
      <c r="M22" s="316">
        <v>144.8</v>
      </c>
      <c r="N22" s="380">
        <v>135.6</v>
      </c>
    </row>
    <row r="23" spans="1:14" ht="12.75">
      <c r="A23" s="312">
        <v>1979</v>
      </c>
      <c r="B23" s="315">
        <v>145.6</v>
      </c>
      <c r="C23" s="315">
        <v>149.6</v>
      </c>
      <c r="D23" s="315">
        <v>150.3</v>
      </c>
      <c r="E23" s="315">
        <v>152.3</v>
      </c>
      <c r="F23" s="315">
        <v>156.6</v>
      </c>
      <c r="G23" s="315">
        <v>157.8</v>
      </c>
      <c r="H23" s="315">
        <v>159.7</v>
      </c>
      <c r="I23" s="315">
        <v>168.6</v>
      </c>
      <c r="J23" s="315">
        <v>170.4</v>
      </c>
      <c r="K23" s="315">
        <v>172.6</v>
      </c>
      <c r="L23" s="315">
        <v>178.1</v>
      </c>
      <c r="M23" s="316">
        <v>180</v>
      </c>
      <c r="N23" s="380">
        <v>161.8</v>
      </c>
    </row>
    <row r="24" spans="1:14" ht="12.75">
      <c r="A24" s="312">
        <v>1980</v>
      </c>
      <c r="B24" s="315">
        <v>182.6</v>
      </c>
      <c r="C24" s="315">
        <v>189</v>
      </c>
      <c r="D24" s="315">
        <v>190.8</v>
      </c>
      <c r="E24" s="315">
        <v>192.7</v>
      </c>
      <c r="F24" s="315">
        <v>198.8</v>
      </c>
      <c r="G24" s="315">
        <v>201.8</v>
      </c>
      <c r="H24" s="315">
        <v>202.7</v>
      </c>
      <c r="I24" s="315">
        <v>207</v>
      </c>
      <c r="J24" s="315">
        <v>209.2</v>
      </c>
      <c r="K24" s="315">
        <v>211.4</v>
      </c>
      <c r="L24" s="315">
        <v>217.6</v>
      </c>
      <c r="M24" s="314">
        <v>223</v>
      </c>
      <c r="N24" s="380">
        <v>202.2</v>
      </c>
    </row>
    <row r="25" spans="1:14" ht="12.75">
      <c r="A25" s="306"/>
      <c r="B25" s="307"/>
      <c r="C25" s="307"/>
      <c r="D25" s="308"/>
      <c r="E25" s="309"/>
      <c r="F25" s="309"/>
      <c r="G25" s="310" t="s">
        <v>335</v>
      </c>
      <c r="H25" s="310"/>
      <c r="I25" s="311"/>
      <c r="J25" s="307"/>
      <c r="K25" s="307"/>
      <c r="L25" s="307"/>
      <c r="M25" s="307"/>
      <c r="N25" s="381"/>
    </row>
    <row r="26" spans="1:14" ht="12.75">
      <c r="A26" s="312">
        <v>1981</v>
      </c>
      <c r="B26" s="317">
        <v>112.5</v>
      </c>
      <c r="C26" s="317">
        <v>115.1</v>
      </c>
      <c r="D26" s="317">
        <v>116.3</v>
      </c>
      <c r="E26" s="317">
        <v>117.8</v>
      </c>
      <c r="F26" s="317">
        <v>121.5</v>
      </c>
      <c r="G26" s="317">
        <v>122.7</v>
      </c>
      <c r="H26" s="317">
        <v>123.3</v>
      </c>
      <c r="I26" s="317">
        <v>125.5</v>
      </c>
      <c r="J26" s="317">
        <v>126.5</v>
      </c>
      <c r="K26" s="317">
        <v>127.9</v>
      </c>
      <c r="L26" s="317">
        <v>132.5</v>
      </c>
      <c r="M26" s="316">
        <v>133.2</v>
      </c>
      <c r="N26" s="380">
        <v>122.9</v>
      </c>
    </row>
    <row r="27" spans="1:14" ht="12.75">
      <c r="A27" s="312">
        <v>1982</v>
      </c>
      <c r="B27" s="317">
        <v>134.9</v>
      </c>
      <c r="C27" s="317">
        <v>137.5</v>
      </c>
      <c r="D27" s="317">
        <v>138.4</v>
      </c>
      <c r="E27" s="317">
        <v>138.8</v>
      </c>
      <c r="F27" s="317">
        <v>142.2</v>
      </c>
      <c r="G27" s="317">
        <v>142.6</v>
      </c>
      <c r="H27" s="317">
        <v>144.1</v>
      </c>
      <c r="I27" s="317">
        <v>148</v>
      </c>
      <c r="J27" s="317">
        <v>149</v>
      </c>
      <c r="K27" s="317">
        <v>150</v>
      </c>
      <c r="L27" s="317">
        <v>152.8</v>
      </c>
      <c r="M27" s="316">
        <v>153.9</v>
      </c>
      <c r="N27" s="380">
        <v>144.4</v>
      </c>
    </row>
    <row r="28" spans="1:14" ht="12.75">
      <c r="A28" s="312">
        <v>1983</v>
      </c>
      <c r="B28" s="317">
        <v>155.2</v>
      </c>
      <c r="C28" s="317">
        <v>158.1</v>
      </c>
      <c r="D28" s="317">
        <v>158.8</v>
      </c>
      <c r="E28" s="317">
        <v>159.4</v>
      </c>
      <c r="F28" s="317">
        <v>161.4</v>
      </c>
      <c r="G28" s="317">
        <v>161.6</v>
      </c>
      <c r="H28" s="317">
        <v>166.1</v>
      </c>
      <c r="I28" s="317">
        <v>167.7</v>
      </c>
      <c r="J28" s="317">
        <v>168.5</v>
      </c>
      <c r="K28" s="317">
        <v>169.1</v>
      </c>
      <c r="L28" s="317">
        <v>171.4</v>
      </c>
      <c r="M28" s="316">
        <v>171.9</v>
      </c>
      <c r="N28" s="380">
        <v>164.1</v>
      </c>
    </row>
    <row r="29" spans="1:14" ht="12.75">
      <c r="A29" s="312">
        <v>1984</v>
      </c>
      <c r="B29" s="317">
        <v>173.5</v>
      </c>
      <c r="C29" s="317">
        <v>175.5</v>
      </c>
      <c r="D29" s="317">
        <v>175.9</v>
      </c>
      <c r="E29" s="317">
        <v>176.4</v>
      </c>
      <c r="F29" s="317">
        <v>177.9</v>
      </c>
      <c r="G29" s="317">
        <v>178.5</v>
      </c>
      <c r="H29" s="317">
        <v>179</v>
      </c>
      <c r="I29" s="317">
        <v>180.3</v>
      </c>
      <c r="J29" s="317">
        <v>180.6</v>
      </c>
      <c r="K29" s="317">
        <v>181.3</v>
      </c>
      <c r="L29" s="317">
        <v>182.9</v>
      </c>
      <c r="M29" s="316">
        <v>183.3</v>
      </c>
      <c r="N29" s="380">
        <v>178.8</v>
      </c>
    </row>
    <row r="30" spans="1:14" ht="12.75">
      <c r="A30" s="312">
        <v>1985</v>
      </c>
      <c r="B30" s="317">
        <v>187.7</v>
      </c>
      <c r="C30" s="317">
        <v>189.2</v>
      </c>
      <c r="D30" s="317">
        <v>190.7</v>
      </c>
      <c r="E30" s="317">
        <v>191.1</v>
      </c>
      <c r="F30" s="317">
        <v>193.1</v>
      </c>
      <c r="G30" s="317">
        <v>194</v>
      </c>
      <c r="H30" s="317">
        <v>194.5</v>
      </c>
      <c r="I30" s="317">
        <v>196.3</v>
      </c>
      <c r="J30" s="317">
        <v>196.9</v>
      </c>
      <c r="K30" s="317">
        <v>197.5</v>
      </c>
      <c r="L30" s="317">
        <v>198.3</v>
      </c>
      <c r="M30" s="316">
        <v>198.6</v>
      </c>
      <c r="N30" s="380">
        <v>194</v>
      </c>
    </row>
    <row r="31" spans="1:14" ht="12.75">
      <c r="A31" s="312">
        <v>1986</v>
      </c>
      <c r="B31" s="317">
        <v>198.8</v>
      </c>
      <c r="C31" s="317">
        <v>198.8</v>
      </c>
      <c r="D31" s="317">
        <v>199.1</v>
      </c>
      <c r="E31" s="317">
        <v>199.6</v>
      </c>
      <c r="F31" s="317">
        <v>201.2</v>
      </c>
      <c r="G31" s="317">
        <v>200.9</v>
      </c>
      <c r="H31" s="317">
        <v>201</v>
      </c>
      <c r="I31" s="317">
        <v>201.3</v>
      </c>
      <c r="J31" s="317">
        <v>202.2</v>
      </c>
      <c r="K31" s="317">
        <v>203.1</v>
      </c>
      <c r="L31" s="317">
        <v>204.9</v>
      </c>
      <c r="M31" s="316">
        <v>205</v>
      </c>
      <c r="N31" s="380">
        <v>201.3</v>
      </c>
    </row>
    <row r="32" spans="1:14" ht="12.75">
      <c r="A32" s="312">
        <v>1987</v>
      </c>
      <c r="B32" s="317">
        <v>205.3</v>
      </c>
      <c r="C32" s="317">
        <v>206.1</v>
      </c>
      <c r="D32" s="317">
        <v>206.4</v>
      </c>
      <c r="E32" s="317">
        <v>206.7</v>
      </c>
      <c r="F32" s="317">
        <v>208.4</v>
      </c>
      <c r="G32" s="317">
        <v>208.8</v>
      </c>
      <c r="H32" s="317">
        <v>208.9</v>
      </c>
      <c r="I32" s="317">
        <v>209.3</v>
      </c>
      <c r="J32" s="317">
        <v>209.5</v>
      </c>
      <c r="K32" s="317">
        <v>215.1</v>
      </c>
      <c r="L32" s="317">
        <v>217.3</v>
      </c>
      <c r="M32" s="316">
        <v>217.8</v>
      </c>
      <c r="N32" s="380">
        <v>210</v>
      </c>
    </row>
    <row r="33" spans="1:14" ht="12.75">
      <c r="A33" s="312">
        <v>1988</v>
      </c>
      <c r="B33" s="317">
        <v>218.1</v>
      </c>
      <c r="C33" s="317">
        <v>218.8</v>
      </c>
      <c r="D33" s="317">
        <v>219.3</v>
      </c>
      <c r="E33" s="317">
        <v>220</v>
      </c>
      <c r="F33" s="317">
        <v>222.4</v>
      </c>
      <c r="G33" s="317">
        <v>223.2</v>
      </c>
      <c r="H33" s="317">
        <v>223.8</v>
      </c>
      <c r="I33" s="317">
        <v>224.4</v>
      </c>
      <c r="J33" s="317">
        <v>226</v>
      </c>
      <c r="K33" s="317">
        <v>226.8</v>
      </c>
      <c r="L33" s="317">
        <v>229.2</v>
      </c>
      <c r="M33" s="316">
        <v>229.7</v>
      </c>
      <c r="N33" s="380">
        <v>223.5</v>
      </c>
    </row>
    <row r="34" spans="1:14" ht="12.75">
      <c r="A34" s="312">
        <v>1989</v>
      </c>
      <c r="B34" s="317">
        <v>230.1</v>
      </c>
      <c r="C34" s="317">
        <v>230.8</v>
      </c>
      <c r="D34" s="317">
        <v>231.3</v>
      </c>
      <c r="E34" s="317">
        <v>231.6</v>
      </c>
      <c r="F34" s="317">
        <v>234.2</v>
      </c>
      <c r="G34" s="317">
        <v>234.3</v>
      </c>
      <c r="H34" s="317">
        <v>235.8</v>
      </c>
      <c r="I34" s="317">
        <v>237.6</v>
      </c>
      <c r="J34" s="317">
        <v>238.4</v>
      </c>
      <c r="K34" s="317">
        <v>239.5</v>
      </c>
      <c r="L34" s="317">
        <v>243.5</v>
      </c>
      <c r="M34" s="316">
        <v>245.7</v>
      </c>
      <c r="N34" s="380">
        <v>236.1</v>
      </c>
    </row>
    <row r="35" spans="1:14" ht="12.75">
      <c r="A35" s="312">
        <v>1990</v>
      </c>
      <c r="B35" s="317">
        <v>251.5</v>
      </c>
      <c r="C35" s="317">
        <v>253.9</v>
      </c>
      <c r="D35" s="317">
        <v>255.6</v>
      </c>
      <c r="E35" s="317">
        <v>256.4</v>
      </c>
      <c r="F35" s="317">
        <v>259.8</v>
      </c>
      <c r="G35" s="317">
        <v>260.5</v>
      </c>
      <c r="H35" s="317">
        <v>263.1</v>
      </c>
      <c r="I35" s="317">
        <v>263.8</v>
      </c>
      <c r="J35" s="317">
        <v>264.4</v>
      </c>
      <c r="K35" s="317">
        <v>265.3</v>
      </c>
      <c r="L35" s="317">
        <v>269</v>
      </c>
      <c r="M35" s="314">
        <v>269.4</v>
      </c>
      <c r="N35" s="380">
        <v>261.1</v>
      </c>
    </row>
    <row r="36" spans="1:14" ht="12.75">
      <c r="A36" s="306"/>
      <c r="B36" s="307"/>
      <c r="C36" s="307"/>
      <c r="D36" s="308"/>
      <c r="E36" s="309"/>
      <c r="F36" s="309"/>
      <c r="G36" s="310" t="s">
        <v>336</v>
      </c>
      <c r="H36" s="310"/>
      <c r="I36" s="311"/>
      <c r="J36" s="307"/>
      <c r="K36" s="307"/>
      <c r="L36" s="307"/>
      <c r="M36" s="307"/>
      <c r="N36" s="381"/>
    </row>
    <row r="37" spans="1:14" ht="12.75">
      <c r="A37" s="312">
        <v>1991</v>
      </c>
      <c r="B37" s="317">
        <v>103.4</v>
      </c>
      <c r="C37" s="317">
        <v>103.9</v>
      </c>
      <c r="D37" s="317">
        <v>104.1</v>
      </c>
      <c r="E37" s="317">
        <v>104.3</v>
      </c>
      <c r="F37" s="317">
        <v>105.7</v>
      </c>
      <c r="G37" s="317">
        <v>110.2</v>
      </c>
      <c r="H37" s="317">
        <v>110.5</v>
      </c>
      <c r="I37" s="317">
        <v>110.6</v>
      </c>
      <c r="J37" s="317">
        <v>110.7</v>
      </c>
      <c r="K37" s="317">
        <v>110.8</v>
      </c>
      <c r="L37" s="317">
        <v>111.9</v>
      </c>
      <c r="M37" s="316">
        <v>111.9</v>
      </c>
      <c r="N37" s="380">
        <v>108.2</v>
      </c>
    </row>
    <row r="38" spans="1:14" ht="12.75">
      <c r="A38" s="312">
        <v>1992</v>
      </c>
      <c r="B38" s="317">
        <v>112.4</v>
      </c>
      <c r="C38" s="317">
        <v>112.6</v>
      </c>
      <c r="D38" s="317">
        <v>113.2</v>
      </c>
      <c r="E38" s="317">
        <v>113.3</v>
      </c>
      <c r="F38" s="317">
        <v>113.6</v>
      </c>
      <c r="G38" s="317">
        <v>113.7</v>
      </c>
      <c r="H38" s="317">
        <v>113.7</v>
      </c>
      <c r="I38" s="317">
        <v>113.8</v>
      </c>
      <c r="J38" s="317">
        <v>113.9</v>
      </c>
      <c r="K38" s="317">
        <v>114.2</v>
      </c>
      <c r="L38" s="317">
        <v>114.2</v>
      </c>
      <c r="M38" s="316">
        <v>114.4</v>
      </c>
      <c r="N38" s="380">
        <v>113.6</v>
      </c>
    </row>
    <row r="39" spans="1:14" ht="12.75">
      <c r="A39" s="312">
        <v>1993</v>
      </c>
      <c r="B39" s="317">
        <v>115.6</v>
      </c>
      <c r="C39" s="317">
        <v>116</v>
      </c>
      <c r="D39" s="317">
        <v>116.1</v>
      </c>
      <c r="E39" s="317">
        <v>116.5</v>
      </c>
      <c r="F39" s="317">
        <v>116.6</v>
      </c>
      <c r="G39" s="317">
        <v>116.8</v>
      </c>
      <c r="H39" s="317">
        <v>116.9</v>
      </c>
      <c r="I39" s="317">
        <v>116.9</v>
      </c>
      <c r="J39" s="317">
        <v>117.1</v>
      </c>
      <c r="K39" s="317">
        <v>117.2</v>
      </c>
      <c r="L39" s="317">
        <v>117.2</v>
      </c>
      <c r="M39" s="316">
        <v>117.3</v>
      </c>
      <c r="N39" s="380">
        <v>116.7</v>
      </c>
    </row>
    <row r="40" spans="1:14" ht="12.75">
      <c r="A40" s="312">
        <v>1994</v>
      </c>
      <c r="B40" s="317">
        <v>120</v>
      </c>
      <c r="C40" s="317">
        <v>120.3</v>
      </c>
      <c r="D40" s="317">
        <v>120.6</v>
      </c>
      <c r="E40" s="317">
        <v>120.9</v>
      </c>
      <c r="F40" s="317">
        <v>120.9</v>
      </c>
      <c r="G40" s="317">
        <v>120.9</v>
      </c>
      <c r="H40" s="317">
        <v>121</v>
      </c>
      <c r="I40" s="317">
        <v>121.2</v>
      </c>
      <c r="J40" s="317">
        <v>121.4</v>
      </c>
      <c r="K40" s="317">
        <v>121.5</v>
      </c>
      <c r="L40" s="317">
        <v>120.4</v>
      </c>
      <c r="M40" s="316">
        <v>120.7</v>
      </c>
      <c r="N40" s="380">
        <v>120.8</v>
      </c>
    </row>
    <row r="41" spans="1:14" ht="12.75">
      <c r="A41" s="312">
        <v>1995</v>
      </c>
      <c r="B41" s="317">
        <v>121.3</v>
      </c>
      <c r="C41" s="317">
        <v>121.6</v>
      </c>
      <c r="D41" s="317">
        <v>122.3</v>
      </c>
      <c r="E41" s="317">
        <v>122.7</v>
      </c>
      <c r="F41" s="317">
        <v>123.4</v>
      </c>
      <c r="G41" s="317">
        <v>123.8</v>
      </c>
      <c r="H41" s="317">
        <v>123.7</v>
      </c>
      <c r="I41" s="317">
        <v>123.8</v>
      </c>
      <c r="J41" s="317">
        <v>124</v>
      </c>
      <c r="K41" s="317">
        <v>123.9</v>
      </c>
      <c r="L41" s="317">
        <v>123.9</v>
      </c>
      <c r="M41" s="314">
        <v>123.9</v>
      </c>
      <c r="N41" s="380">
        <v>123.2</v>
      </c>
    </row>
    <row r="42" spans="1:14" ht="12.75">
      <c r="A42" s="306"/>
      <c r="B42" s="307"/>
      <c r="C42" s="307"/>
      <c r="D42" s="308"/>
      <c r="E42" s="309"/>
      <c r="F42" s="309"/>
      <c r="G42" s="310" t="s">
        <v>337</v>
      </c>
      <c r="H42" s="310"/>
      <c r="I42" s="311"/>
      <c r="J42" s="307"/>
      <c r="K42" s="307"/>
      <c r="L42" s="307"/>
      <c r="M42" s="307"/>
      <c r="N42" s="381"/>
    </row>
    <row r="43" spans="1:14" ht="12.75">
      <c r="A43" s="312">
        <v>1996</v>
      </c>
      <c r="B43" s="317">
        <v>100.5</v>
      </c>
      <c r="C43" s="317">
        <v>100.6</v>
      </c>
      <c r="D43" s="317">
        <v>100.7</v>
      </c>
      <c r="E43" s="317">
        <v>100.7</v>
      </c>
      <c r="F43" s="317">
        <v>100.8</v>
      </c>
      <c r="G43" s="317">
        <v>101</v>
      </c>
      <c r="H43" s="317">
        <v>102.4</v>
      </c>
      <c r="I43" s="317">
        <v>102.4</v>
      </c>
      <c r="J43" s="317">
        <v>102.7</v>
      </c>
      <c r="K43" s="317">
        <v>102.9</v>
      </c>
      <c r="L43" s="317">
        <v>102.9</v>
      </c>
      <c r="M43" s="316">
        <v>103.4</v>
      </c>
      <c r="N43" s="380">
        <v>101.8</v>
      </c>
    </row>
    <row r="44" spans="1:14" ht="12.75">
      <c r="A44" s="312">
        <v>1997</v>
      </c>
      <c r="B44" s="317">
        <v>103.4</v>
      </c>
      <c r="C44" s="317">
        <v>103.1</v>
      </c>
      <c r="D44" s="317">
        <v>103.4</v>
      </c>
      <c r="E44" s="317">
        <v>103.5</v>
      </c>
      <c r="F44" s="317">
        <v>103.5</v>
      </c>
      <c r="G44" s="317">
        <v>103.6</v>
      </c>
      <c r="H44" s="317">
        <v>104.9</v>
      </c>
      <c r="I44" s="317">
        <v>105</v>
      </c>
      <c r="J44" s="317">
        <v>105.2</v>
      </c>
      <c r="K44" s="317">
        <v>105.3</v>
      </c>
      <c r="L44" s="317">
        <v>105.4</v>
      </c>
      <c r="M44" s="316">
        <v>105.3</v>
      </c>
      <c r="N44" s="380">
        <v>104.3</v>
      </c>
    </row>
    <row r="45" spans="1:14" ht="12.75">
      <c r="A45" s="312">
        <v>1998</v>
      </c>
      <c r="B45" s="317">
        <v>101.9</v>
      </c>
      <c r="C45" s="317">
        <v>102</v>
      </c>
      <c r="D45" s="317">
        <v>102.5</v>
      </c>
      <c r="E45" s="317">
        <v>102.5</v>
      </c>
      <c r="F45" s="317">
        <v>102.5</v>
      </c>
      <c r="G45" s="317">
        <v>102.7</v>
      </c>
      <c r="H45" s="317">
        <v>102.9</v>
      </c>
      <c r="I45" s="317">
        <v>103.4</v>
      </c>
      <c r="J45" s="317">
        <v>103.4</v>
      </c>
      <c r="K45" s="317">
        <v>103.6</v>
      </c>
      <c r="L45" s="317">
        <v>103.7</v>
      </c>
      <c r="M45" s="314">
        <v>103.6</v>
      </c>
      <c r="N45" s="380">
        <v>102.9</v>
      </c>
    </row>
    <row r="46" spans="1:14" ht="12.75">
      <c r="A46" s="312">
        <v>1999</v>
      </c>
      <c r="B46" s="317">
        <v>103.6</v>
      </c>
      <c r="C46" s="317">
        <v>103.7</v>
      </c>
      <c r="D46" s="317">
        <v>103.8</v>
      </c>
      <c r="E46" s="317">
        <v>104.3</v>
      </c>
      <c r="F46" s="317">
        <v>104.5</v>
      </c>
      <c r="G46" s="317">
        <v>104.6</v>
      </c>
      <c r="H46" s="317">
        <v>104.8</v>
      </c>
      <c r="I46" s="317">
        <v>104.9</v>
      </c>
      <c r="J46" s="317">
        <v>105</v>
      </c>
      <c r="K46" s="317">
        <v>105.2</v>
      </c>
      <c r="L46" s="317">
        <v>105.4</v>
      </c>
      <c r="M46" s="317">
        <v>105.6</v>
      </c>
      <c r="N46" s="380">
        <v>104.6</v>
      </c>
    </row>
    <row r="47" spans="1:14" ht="12.75">
      <c r="A47" s="312">
        <v>2000</v>
      </c>
      <c r="B47" s="317">
        <v>106.6</v>
      </c>
      <c r="C47" s="317">
        <v>106.8</v>
      </c>
      <c r="D47" s="317">
        <v>107</v>
      </c>
      <c r="E47" s="317">
        <v>107.1</v>
      </c>
      <c r="F47" s="317">
        <v>107.2</v>
      </c>
      <c r="G47" s="317">
        <v>107.7</v>
      </c>
      <c r="H47" s="317">
        <v>107.8</v>
      </c>
      <c r="I47" s="317">
        <v>108</v>
      </c>
      <c r="J47" s="317">
        <v>108.3</v>
      </c>
      <c r="K47" s="317">
        <v>108.5</v>
      </c>
      <c r="L47" s="317">
        <v>108.7</v>
      </c>
      <c r="M47" s="317">
        <v>108.9</v>
      </c>
      <c r="N47" s="380">
        <v>107.7</v>
      </c>
    </row>
    <row r="48" spans="1:14" ht="12.75">
      <c r="A48" s="320">
        <v>2001</v>
      </c>
      <c r="B48" s="321">
        <v>109.6</v>
      </c>
      <c r="C48" s="321">
        <v>109.5</v>
      </c>
      <c r="D48" s="321">
        <v>109.8</v>
      </c>
      <c r="E48" s="321">
        <v>109.8</v>
      </c>
      <c r="F48" s="321">
        <v>110</v>
      </c>
      <c r="G48" s="321">
        <v>110.1</v>
      </c>
      <c r="H48" s="321">
        <v>110.4</v>
      </c>
      <c r="I48" s="321">
        <v>110.6</v>
      </c>
      <c r="J48" s="321">
        <v>110.8</v>
      </c>
      <c r="K48" s="321">
        <v>110.8</v>
      </c>
      <c r="L48" s="321">
        <v>111</v>
      </c>
      <c r="M48" s="321">
        <v>111</v>
      </c>
      <c r="N48" s="382">
        <v>110.3</v>
      </c>
    </row>
    <row r="49" spans="1:14" ht="12.75">
      <c r="A49" s="312">
        <v>2002</v>
      </c>
      <c r="B49" s="317">
        <v>114.1</v>
      </c>
      <c r="C49" s="317">
        <v>114.2</v>
      </c>
      <c r="D49" s="317">
        <v>114.3</v>
      </c>
      <c r="E49" s="317">
        <v>114.5</v>
      </c>
      <c r="F49" s="317">
        <v>114.6</v>
      </c>
      <c r="G49" s="317">
        <v>114.8</v>
      </c>
      <c r="H49" s="317">
        <v>115</v>
      </c>
      <c r="I49" s="317">
        <v>115.1</v>
      </c>
      <c r="J49" s="317">
        <v>115.3</v>
      </c>
      <c r="K49" s="317">
        <v>115.3</v>
      </c>
      <c r="L49" s="317">
        <v>115.4</v>
      </c>
      <c r="M49" s="314">
        <v>115.5</v>
      </c>
      <c r="N49" s="380">
        <v>114.8</v>
      </c>
    </row>
    <row r="50" spans="1:14" ht="12.75">
      <c r="A50" s="306"/>
      <c r="B50" s="307"/>
      <c r="C50" s="307"/>
      <c r="D50" s="308"/>
      <c r="E50" s="309"/>
      <c r="F50" s="309"/>
      <c r="G50" s="310" t="s">
        <v>338</v>
      </c>
      <c r="H50" s="310"/>
      <c r="I50" s="311"/>
      <c r="J50" s="307"/>
      <c r="K50" s="307"/>
      <c r="L50" s="307"/>
      <c r="M50" s="307"/>
      <c r="N50" s="381"/>
    </row>
    <row r="51" spans="1:14" ht="12.75">
      <c r="A51" s="320">
        <v>2003</v>
      </c>
      <c r="B51" s="321">
        <v>108.8</v>
      </c>
      <c r="C51" s="321">
        <v>109.1</v>
      </c>
      <c r="D51" s="321">
        <v>109.2</v>
      </c>
      <c r="E51" s="321">
        <v>109.4</v>
      </c>
      <c r="F51" s="321">
        <v>109.4</v>
      </c>
      <c r="G51" s="321">
        <v>109.4</v>
      </c>
      <c r="H51" s="321">
        <v>109.6</v>
      </c>
      <c r="I51" s="321">
        <v>109.6</v>
      </c>
      <c r="J51" s="321">
        <v>109.6</v>
      </c>
      <c r="K51" s="321">
        <v>109.7</v>
      </c>
      <c r="L51" s="321">
        <v>109.8</v>
      </c>
      <c r="M51" s="321">
        <v>109.8</v>
      </c>
      <c r="N51" s="382">
        <v>109.5</v>
      </c>
    </row>
    <row r="52" spans="1:14" ht="12.75">
      <c r="A52" s="320">
        <v>2004</v>
      </c>
      <c r="B52" s="321">
        <v>111</v>
      </c>
      <c r="C52" s="321">
        <v>111.9</v>
      </c>
      <c r="D52" s="321">
        <v>112.2</v>
      </c>
      <c r="E52" s="321">
        <v>112.7</v>
      </c>
      <c r="F52" s="321">
        <v>114.1</v>
      </c>
      <c r="G52" s="321">
        <v>114.2</v>
      </c>
      <c r="H52" s="321">
        <v>114.9</v>
      </c>
      <c r="I52" s="321">
        <v>115</v>
      </c>
      <c r="J52" s="321">
        <v>115.3</v>
      </c>
      <c r="K52" s="321">
        <v>115.5</v>
      </c>
      <c r="L52" s="321">
        <v>115.8</v>
      </c>
      <c r="M52" s="316">
        <v>115.9</v>
      </c>
      <c r="N52" s="382">
        <v>114</v>
      </c>
    </row>
    <row r="53" spans="1:14" ht="12.75">
      <c r="A53" s="312">
        <v>2005</v>
      </c>
      <c r="B53" s="317">
        <v>116.2</v>
      </c>
      <c r="C53" s="317">
        <v>117</v>
      </c>
      <c r="D53" s="317">
        <v>118.4</v>
      </c>
      <c r="E53" s="317">
        <v>118.5</v>
      </c>
      <c r="F53" s="317">
        <v>118.5</v>
      </c>
      <c r="G53" s="317">
        <v>118.5</v>
      </c>
      <c r="H53" s="317">
        <v>119.1</v>
      </c>
      <c r="I53" s="317">
        <v>119.1</v>
      </c>
      <c r="J53" s="317">
        <v>119.2</v>
      </c>
      <c r="K53" s="317">
        <v>119.4</v>
      </c>
      <c r="L53" s="317">
        <v>119.6</v>
      </c>
      <c r="M53" s="317">
        <v>119.6</v>
      </c>
      <c r="N53" s="380">
        <v>118.6</v>
      </c>
    </row>
    <row r="54" spans="1:14" ht="12.75">
      <c r="A54" s="312">
        <v>2006</v>
      </c>
      <c r="B54" s="317">
        <v>119.9</v>
      </c>
      <c r="C54" s="317">
        <v>120</v>
      </c>
      <c r="D54" s="317">
        <v>121.5</v>
      </c>
      <c r="E54" s="317">
        <v>122</v>
      </c>
      <c r="F54" s="317">
        <v>122.2</v>
      </c>
      <c r="G54" s="317">
        <v>122.2</v>
      </c>
      <c r="H54" s="317">
        <v>122.8</v>
      </c>
      <c r="I54" s="317">
        <v>122.8</v>
      </c>
      <c r="J54" s="317">
        <v>122.9</v>
      </c>
      <c r="K54" s="317">
        <v>123.5</v>
      </c>
      <c r="L54" s="317">
        <v>123.8</v>
      </c>
      <c r="M54" s="317">
        <v>124.1</v>
      </c>
      <c r="N54" s="380">
        <v>122.3</v>
      </c>
    </row>
    <row r="55" spans="1:14" ht="12.75">
      <c r="A55" s="312">
        <v>2007</v>
      </c>
      <c r="B55" s="317">
        <v>125.8</v>
      </c>
      <c r="C55" s="317">
        <v>125.9</v>
      </c>
      <c r="D55" s="317">
        <v>126</v>
      </c>
      <c r="E55" s="317">
        <v>126.6</v>
      </c>
      <c r="F55" s="317">
        <v>127.1</v>
      </c>
      <c r="G55" s="317">
        <v>127.1</v>
      </c>
      <c r="H55" s="317">
        <v>127.4</v>
      </c>
      <c r="I55" s="317">
        <v>127.4</v>
      </c>
      <c r="J55" s="317">
        <v>127.6</v>
      </c>
      <c r="K55" s="317">
        <v>127.7</v>
      </c>
      <c r="L55" s="317">
        <v>128.1</v>
      </c>
      <c r="M55" s="317">
        <v>128.1</v>
      </c>
      <c r="N55" s="380">
        <v>127.1</v>
      </c>
    </row>
    <row r="56" spans="1:14" ht="12.75">
      <c r="A56" s="346">
        <v>2008</v>
      </c>
      <c r="B56" s="294">
        <v>128.8</v>
      </c>
      <c r="C56" s="294">
        <v>128.9</v>
      </c>
      <c r="D56" s="294">
        <v>129</v>
      </c>
      <c r="E56" s="294">
        <v>129.8</v>
      </c>
      <c r="F56" s="294">
        <v>130.3</v>
      </c>
      <c r="G56" s="294">
        <v>133</v>
      </c>
      <c r="H56" s="294">
        <v>133.5</v>
      </c>
      <c r="I56" s="294">
        <v>133.5</v>
      </c>
      <c r="J56" s="294">
        <v>133.3</v>
      </c>
      <c r="K56" s="294">
        <v>133.5</v>
      </c>
      <c r="L56" s="294">
        <v>133.5</v>
      </c>
      <c r="M56" s="294">
        <v>133.4</v>
      </c>
      <c r="N56" s="383">
        <v>131.7</v>
      </c>
    </row>
    <row r="57" spans="1:14" ht="12.75">
      <c r="A57" s="306"/>
      <c r="B57" s="307"/>
      <c r="C57" s="307"/>
      <c r="D57" s="308"/>
      <c r="E57" s="309"/>
      <c r="F57" s="309"/>
      <c r="G57" s="310" t="s">
        <v>430</v>
      </c>
      <c r="H57" s="310"/>
      <c r="I57" s="311"/>
      <c r="J57" s="307"/>
      <c r="K57" s="307"/>
      <c r="L57" s="307"/>
      <c r="M57" s="307"/>
      <c r="N57" s="381"/>
    </row>
    <row r="58" spans="1:14" ht="12.75">
      <c r="A58" s="322">
        <v>2009</v>
      </c>
      <c r="B58" s="323">
        <v>112.2</v>
      </c>
      <c r="C58" s="323">
        <v>111.9</v>
      </c>
      <c r="D58" s="323">
        <v>111.7</v>
      </c>
      <c r="E58" s="323">
        <v>111.6</v>
      </c>
      <c r="F58" s="323">
        <v>111.7</v>
      </c>
      <c r="G58" s="323">
        <v>111.6</v>
      </c>
      <c r="H58" s="323">
        <v>111.4</v>
      </c>
      <c r="I58" s="323">
        <v>111.5</v>
      </c>
      <c r="J58" s="323">
        <v>111.5</v>
      </c>
      <c r="K58" s="323">
        <v>111.6</v>
      </c>
      <c r="L58" s="323">
        <v>111.5</v>
      </c>
      <c r="M58" s="323">
        <v>111.5</v>
      </c>
      <c r="N58" s="384">
        <v>111.6</v>
      </c>
    </row>
    <row r="59" spans="1:14" ht="12.75">
      <c r="A59" s="322">
        <v>2010</v>
      </c>
      <c r="B59" s="323">
        <v>111.7</v>
      </c>
      <c r="C59" s="323">
        <v>111.7</v>
      </c>
      <c r="D59" s="323">
        <v>111.9</v>
      </c>
      <c r="E59" s="323">
        <v>113.8</v>
      </c>
      <c r="F59" s="323">
        <v>113.8</v>
      </c>
      <c r="G59" s="323">
        <v>113.6</v>
      </c>
      <c r="H59" s="323">
        <v>113.6</v>
      </c>
      <c r="I59" s="323">
        <v>113.8</v>
      </c>
      <c r="J59" s="323">
        <v>113.9</v>
      </c>
      <c r="K59" s="323">
        <v>113.9</v>
      </c>
      <c r="L59" s="323">
        <v>113.9</v>
      </c>
      <c r="M59" s="323">
        <v>114</v>
      </c>
      <c r="N59" s="384">
        <v>113.3</v>
      </c>
    </row>
    <row r="60" spans="1:14" ht="12.75">
      <c r="A60" s="322">
        <v>2011</v>
      </c>
      <c r="B60" s="323">
        <v>116.8</v>
      </c>
      <c r="C60" s="323">
        <v>116.9</v>
      </c>
      <c r="D60" s="323">
        <v>117.2</v>
      </c>
      <c r="E60" s="323">
        <v>117.2</v>
      </c>
      <c r="F60" s="323">
        <v>117.4</v>
      </c>
      <c r="G60" s="323">
        <v>117.8</v>
      </c>
      <c r="H60" s="323">
        <v>117.9</v>
      </c>
      <c r="I60" s="323">
        <v>118</v>
      </c>
      <c r="J60" s="323">
        <v>118</v>
      </c>
      <c r="K60" s="323">
        <v>118</v>
      </c>
      <c r="L60" s="323">
        <v>118.1</v>
      </c>
      <c r="M60" s="323">
        <v>118.1</v>
      </c>
      <c r="N60" s="384">
        <v>117.6</v>
      </c>
    </row>
    <row r="61" spans="1:14" ht="12.75">
      <c r="A61" s="322">
        <v>2012</v>
      </c>
      <c r="B61" s="323">
        <v>119.8</v>
      </c>
      <c r="C61" s="323">
        <v>120.2</v>
      </c>
      <c r="D61" s="323">
        <v>120.3</v>
      </c>
      <c r="E61" s="323">
        <v>129.4</v>
      </c>
      <c r="F61" s="323">
        <v>120.4</v>
      </c>
      <c r="G61" s="323">
        <v>120.4</v>
      </c>
      <c r="H61" s="323">
        <v>120.3</v>
      </c>
      <c r="I61" s="323">
        <v>120.4</v>
      </c>
      <c r="J61" s="323">
        <v>120.5</v>
      </c>
      <c r="K61" s="323">
        <v>120.7</v>
      </c>
      <c r="L61" s="323">
        <v>120.7</v>
      </c>
      <c r="M61" s="323">
        <v>120.7</v>
      </c>
      <c r="N61" s="384">
        <v>120.4</v>
      </c>
    </row>
    <row r="62" spans="1:14" ht="12.75">
      <c r="A62" s="306"/>
      <c r="B62" s="307"/>
      <c r="C62" s="307"/>
      <c r="D62" s="308"/>
      <c r="E62" s="309"/>
      <c r="F62" s="309"/>
      <c r="G62" s="310" t="s">
        <v>436</v>
      </c>
      <c r="H62" s="310"/>
      <c r="I62" s="311"/>
      <c r="J62" s="307"/>
      <c r="K62" s="307"/>
      <c r="L62" s="307"/>
      <c r="M62" s="307"/>
      <c r="N62" s="381"/>
    </row>
    <row r="63" spans="1:14" ht="12.75">
      <c r="A63" s="322">
        <v>2013</v>
      </c>
      <c r="B63" s="323">
        <v>105.9</v>
      </c>
      <c r="C63" s="323">
        <v>106.2</v>
      </c>
      <c r="D63" s="323">
        <v>106</v>
      </c>
      <c r="E63" s="323">
        <v>105.9</v>
      </c>
      <c r="F63" s="323">
        <v>106.3</v>
      </c>
      <c r="G63" s="323">
        <v>106.1</v>
      </c>
      <c r="H63" s="323">
        <v>103.1</v>
      </c>
      <c r="I63" s="323">
        <v>106.2</v>
      </c>
      <c r="J63" s="323">
        <v>106.3</v>
      </c>
      <c r="K63" s="323">
        <v>106</v>
      </c>
      <c r="L63" s="323">
        <v>106</v>
      </c>
      <c r="M63" s="323">
        <v>105.9</v>
      </c>
      <c r="N63" s="384">
        <v>106.1</v>
      </c>
    </row>
    <row r="64" spans="1:14" ht="12.75">
      <c r="A64" s="322">
        <v>2014</v>
      </c>
      <c r="B64" s="323">
        <v>105.7</v>
      </c>
      <c r="C64" s="323">
        <v>105.9</v>
      </c>
      <c r="D64" s="323">
        <v>105.5</v>
      </c>
      <c r="E64" s="323">
        <v>105.7</v>
      </c>
      <c r="F64" s="323">
        <v>105.6</v>
      </c>
      <c r="G64" s="323">
        <v>105.7</v>
      </c>
      <c r="H64" s="323">
        <v>106.1</v>
      </c>
      <c r="I64" s="323">
        <v>106.4</v>
      </c>
      <c r="J64" s="323">
        <v>106.3</v>
      </c>
      <c r="K64" s="323">
        <v>106.1</v>
      </c>
      <c r="L64" s="323">
        <v>106.1</v>
      </c>
      <c r="M64" s="323">
        <v>106.2</v>
      </c>
      <c r="N64" s="384">
        <v>105.9</v>
      </c>
    </row>
    <row r="65" spans="1:14" ht="12.75">
      <c r="A65" s="322">
        <v>2015</v>
      </c>
      <c r="B65" s="323">
        <v>106.2</v>
      </c>
      <c r="C65" s="323">
        <v>106</v>
      </c>
      <c r="D65" s="323">
        <v>106</v>
      </c>
      <c r="E65" s="323">
        <v>105.9</v>
      </c>
      <c r="F65" s="323">
        <v>106</v>
      </c>
      <c r="G65" s="323">
        <v>106</v>
      </c>
      <c r="H65" s="323">
        <v>106.8</v>
      </c>
      <c r="I65" s="323">
        <v>106.9</v>
      </c>
      <c r="J65" s="323">
        <v>106.9</v>
      </c>
      <c r="K65" s="323">
        <v>106.6</v>
      </c>
      <c r="L65" s="323">
        <v>106.6</v>
      </c>
      <c r="M65" s="323">
        <v>106.7</v>
      </c>
      <c r="N65" s="384">
        <v>106.4</v>
      </c>
    </row>
    <row r="66" spans="1:14" ht="12.75">
      <c r="A66" s="322">
        <v>2016</v>
      </c>
      <c r="B66" s="323">
        <v>106.6</v>
      </c>
      <c r="C66" s="323">
        <v>106.6</v>
      </c>
      <c r="D66" s="323">
        <v>106.5</v>
      </c>
      <c r="E66" s="323">
        <v>106.6</v>
      </c>
      <c r="F66" s="323">
        <v>106.7</v>
      </c>
      <c r="G66" s="323">
        <v>106.7</v>
      </c>
      <c r="H66" s="323">
        <v>106.7</v>
      </c>
      <c r="I66" s="323">
        <v>106.7</v>
      </c>
      <c r="J66" s="323">
        <v>106.8</v>
      </c>
      <c r="K66" s="323">
        <v>106.9</v>
      </c>
      <c r="L66" s="323">
        <v>106.9</v>
      </c>
      <c r="M66" s="323">
        <v>106.9</v>
      </c>
      <c r="N66" s="384">
        <v>106.7</v>
      </c>
    </row>
    <row r="67" spans="1:14" ht="12.75">
      <c r="A67" s="322">
        <v>2017</v>
      </c>
      <c r="B67" s="323">
        <v>107.1</v>
      </c>
      <c r="C67" s="323">
        <v>106.9</v>
      </c>
      <c r="D67" s="323">
        <v>107.1</v>
      </c>
      <c r="E67" s="323">
        <v>107.3</v>
      </c>
      <c r="F67" s="323">
        <v>107.2</v>
      </c>
      <c r="G67" s="323">
        <v>107.2</v>
      </c>
      <c r="H67" s="323">
        <v>107.2</v>
      </c>
      <c r="I67" s="323">
        <v>107.4</v>
      </c>
      <c r="J67" s="323">
        <v>107.5</v>
      </c>
      <c r="K67" s="323">
        <v>107.6</v>
      </c>
      <c r="L67" s="323">
        <v>107.7</v>
      </c>
      <c r="M67" s="323">
        <v>107.6</v>
      </c>
      <c r="N67" s="384">
        <v>107.3</v>
      </c>
    </row>
    <row r="68" spans="1:14" ht="12.75">
      <c r="A68" s="306"/>
      <c r="B68" s="307"/>
      <c r="C68" s="307"/>
      <c r="D68" s="308"/>
      <c r="E68" s="309"/>
      <c r="F68" s="309"/>
      <c r="G68" s="310" t="s">
        <v>437</v>
      </c>
      <c r="H68" s="310"/>
      <c r="I68" s="311"/>
      <c r="J68" s="307"/>
      <c r="K68" s="307"/>
      <c r="L68" s="307"/>
      <c r="M68" s="307"/>
      <c r="N68" s="381"/>
    </row>
    <row r="69" spans="1:14" ht="12.75">
      <c r="A69" s="322">
        <v>2018</v>
      </c>
      <c r="B69" s="323">
        <v>101.6</v>
      </c>
      <c r="C69" s="323">
        <v>101.5</v>
      </c>
      <c r="D69" s="323">
        <v>101.5</v>
      </c>
      <c r="E69" s="323">
        <v>101.6</v>
      </c>
      <c r="F69" s="323">
        <v>101.7</v>
      </c>
      <c r="G69" s="323">
        <v>101.7</v>
      </c>
      <c r="H69" s="323">
        <v>102.6</v>
      </c>
      <c r="I69" s="323">
        <v>102.9</v>
      </c>
      <c r="J69" s="323">
        <v>102.8</v>
      </c>
      <c r="K69" s="323">
        <v>102.9</v>
      </c>
      <c r="L69" s="323">
        <v>103</v>
      </c>
      <c r="M69" s="323">
        <v>103</v>
      </c>
      <c r="N69" s="384">
        <v>102.2</v>
      </c>
    </row>
    <row r="70" spans="1:14" ht="12.75">
      <c r="A70" s="322">
        <v>2019</v>
      </c>
      <c r="B70" s="323">
        <v>102.9</v>
      </c>
      <c r="C70" s="323">
        <v>102.9</v>
      </c>
      <c r="D70" s="323">
        <v>102.9</v>
      </c>
      <c r="E70" s="323">
        <v>102.4</v>
      </c>
      <c r="F70" s="323">
        <v>102.5</v>
      </c>
      <c r="G70" s="323">
        <v>102.6</v>
      </c>
      <c r="H70" s="323">
        <v>102.9</v>
      </c>
      <c r="I70" s="323">
        <v>103</v>
      </c>
      <c r="J70" s="323">
        <v>103</v>
      </c>
      <c r="K70" s="323">
        <v>102.9</v>
      </c>
      <c r="L70" s="323">
        <v>102.9</v>
      </c>
      <c r="M70" s="323">
        <v>103</v>
      </c>
      <c r="N70" s="384">
        <v>102.9</v>
      </c>
    </row>
    <row r="71" spans="1:14" ht="12.75">
      <c r="A71" s="322">
        <v>2020</v>
      </c>
      <c r="B71" s="323">
        <v>103.1</v>
      </c>
      <c r="C71" s="323">
        <v>103</v>
      </c>
      <c r="D71" s="323">
        <v>103</v>
      </c>
      <c r="E71" s="323">
        <v>103.1</v>
      </c>
      <c r="F71" s="323">
        <v>103</v>
      </c>
      <c r="G71" s="323">
        <v>102.9</v>
      </c>
      <c r="H71" s="323">
        <v>103</v>
      </c>
      <c r="I71" s="323"/>
      <c r="J71" s="323"/>
      <c r="K71" s="323"/>
      <c r="L71" s="323"/>
      <c r="M71" s="323"/>
      <c r="N71" s="384"/>
    </row>
    <row r="72" spans="1:14" ht="12.75">
      <c r="A72" s="322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84"/>
    </row>
    <row r="73" spans="1:14" ht="12.75">
      <c r="A73" s="322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84"/>
    </row>
    <row r="74" spans="1:14" ht="12.75">
      <c r="A74" s="322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84"/>
    </row>
    <row r="75" spans="1:14" ht="12.75">
      <c r="A75" s="366" t="s">
        <v>431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84"/>
    </row>
    <row r="76" spans="1:14" ht="12.75">
      <c r="A76" s="372" t="s">
        <v>432</v>
      </c>
      <c r="B76" s="372"/>
      <c r="C76" s="620" t="s">
        <v>435</v>
      </c>
      <c r="D76" s="620"/>
      <c r="E76" s="620"/>
      <c r="F76" s="620"/>
      <c r="G76" s="620"/>
      <c r="H76" s="620"/>
      <c r="I76" s="620"/>
      <c r="J76" s="620"/>
      <c r="K76" s="620"/>
      <c r="L76" s="620"/>
      <c r="M76" s="620"/>
      <c r="N76" s="620"/>
    </row>
    <row r="77" spans="1:14" s="369" customFormat="1" ht="12.75">
      <c r="A77" s="367"/>
      <c r="B77" s="367"/>
      <c r="C77" s="368" t="s">
        <v>433</v>
      </c>
      <c r="D77" s="367">
        <v>1976</v>
      </c>
      <c r="E77" s="367">
        <v>1980</v>
      </c>
      <c r="F77" s="367">
        <v>1990</v>
      </c>
      <c r="G77" s="367">
        <v>1995</v>
      </c>
      <c r="H77" s="367">
        <v>2000</v>
      </c>
      <c r="I77" s="367">
        <v>2005</v>
      </c>
      <c r="J77" s="367">
        <v>2010</v>
      </c>
      <c r="K77" s="367">
        <v>2015</v>
      </c>
      <c r="L77" s="367"/>
      <c r="M77" s="367"/>
      <c r="N77" s="385"/>
    </row>
    <row r="78" spans="1:14" ht="12.75">
      <c r="A78" s="618" t="s">
        <v>434</v>
      </c>
      <c r="B78" s="619"/>
      <c r="C78" s="370">
        <v>1.0024</v>
      </c>
      <c r="D78" s="371">
        <v>2.464</v>
      </c>
      <c r="E78" s="371">
        <v>5.0044</v>
      </c>
      <c r="F78" s="371">
        <v>13.0665</v>
      </c>
      <c r="G78" s="371">
        <v>16.0979</v>
      </c>
      <c r="H78" s="371">
        <v>17.3374</v>
      </c>
      <c r="I78" s="371">
        <v>20.5622</v>
      </c>
      <c r="J78" s="371">
        <v>23.2969</v>
      </c>
      <c r="K78" s="371">
        <v>24.7879</v>
      </c>
      <c r="L78" s="323"/>
      <c r="M78" s="323"/>
      <c r="N78" s="384"/>
    </row>
    <row r="79" spans="1:14" ht="12.75">
      <c r="A79" s="618" t="s">
        <v>433</v>
      </c>
      <c r="B79" s="619"/>
      <c r="C79" s="370"/>
      <c r="D79" s="371">
        <v>2.4581</v>
      </c>
      <c r="E79" s="371">
        <v>4.9924</v>
      </c>
      <c r="F79" s="371">
        <v>13.0352</v>
      </c>
      <c r="G79" s="371">
        <v>16.0594</v>
      </c>
      <c r="H79" s="371">
        <v>17.296</v>
      </c>
      <c r="I79" s="371">
        <v>20.5131</v>
      </c>
      <c r="J79" s="371">
        <v>23.2411</v>
      </c>
      <c r="K79" s="371">
        <v>24.7286</v>
      </c>
      <c r="L79" s="323"/>
      <c r="M79" s="323"/>
      <c r="N79" s="384"/>
    </row>
    <row r="80" spans="1:14" ht="12.75">
      <c r="A80" s="366">
        <v>1976</v>
      </c>
      <c r="B80" s="323"/>
      <c r="C80" s="370"/>
      <c r="D80" s="371"/>
      <c r="E80" s="371">
        <v>2.031</v>
      </c>
      <c r="F80" s="371">
        <v>5.3029</v>
      </c>
      <c r="G80" s="371">
        <v>6.5332</v>
      </c>
      <c r="H80" s="371">
        <v>7.0363</v>
      </c>
      <c r="I80" s="371">
        <v>8.3451</v>
      </c>
      <c r="J80" s="371">
        <v>9.4549</v>
      </c>
      <c r="K80" s="371">
        <v>10.06</v>
      </c>
      <c r="L80" s="323"/>
      <c r="M80" s="323"/>
      <c r="N80" s="384"/>
    </row>
    <row r="81" spans="1:14" ht="12.75">
      <c r="A81" s="366">
        <v>1980</v>
      </c>
      <c r="B81" s="323"/>
      <c r="C81" s="370"/>
      <c r="D81" s="371"/>
      <c r="E81" s="371"/>
      <c r="F81" s="371">
        <v>2.611</v>
      </c>
      <c r="G81" s="371">
        <v>3.2168</v>
      </c>
      <c r="H81" s="371">
        <v>3.4645</v>
      </c>
      <c r="I81" s="371">
        <v>4.1089</v>
      </c>
      <c r="J81" s="371">
        <v>4.6553</v>
      </c>
      <c r="K81" s="371">
        <v>4.9532</v>
      </c>
      <c r="L81" s="323"/>
      <c r="M81" s="323"/>
      <c r="N81" s="384"/>
    </row>
    <row r="82" spans="1:14" ht="12.75">
      <c r="A82" s="366">
        <v>1990</v>
      </c>
      <c r="B82" s="323"/>
      <c r="C82" s="370"/>
      <c r="D82" s="371"/>
      <c r="E82" s="371"/>
      <c r="F82" s="371"/>
      <c r="G82" s="371">
        <v>1.232</v>
      </c>
      <c r="H82" s="371">
        <v>1.3269</v>
      </c>
      <c r="I82" s="371">
        <v>1.5737</v>
      </c>
      <c r="J82" s="371">
        <v>1.783</v>
      </c>
      <c r="K82" s="371">
        <v>1.8971</v>
      </c>
      <c r="L82" s="323"/>
      <c r="M82" s="323"/>
      <c r="N82" s="384"/>
    </row>
    <row r="83" spans="1:14" ht="12.75">
      <c r="A83" s="366">
        <v>1995</v>
      </c>
      <c r="B83" s="323"/>
      <c r="C83" s="370"/>
      <c r="D83" s="371"/>
      <c r="E83" s="371"/>
      <c r="F83" s="371"/>
      <c r="G83" s="371"/>
      <c r="H83" s="371">
        <v>1.077</v>
      </c>
      <c r="I83" s="371">
        <v>1.2773</v>
      </c>
      <c r="J83" s="371">
        <v>1.4472</v>
      </c>
      <c r="K83" s="371">
        <v>1.5398</v>
      </c>
      <c r="L83" s="323"/>
      <c r="M83" s="323"/>
      <c r="N83" s="384"/>
    </row>
    <row r="84" spans="1:14" ht="12.75">
      <c r="A84" s="366">
        <v>2000</v>
      </c>
      <c r="B84" s="323"/>
      <c r="C84" s="371"/>
      <c r="D84" s="371"/>
      <c r="E84" s="371"/>
      <c r="F84" s="371"/>
      <c r="G84" s="371"/>
      <c r="H84" s="371"/>
      <c r="I84" s="371">
        <v>1.186</v>
      </c>
      <c r="J84" s="371">
        <v>1.3437</v>
      </c>
      <c r="K84" s="371">
        <v>1.4297</v>
      </c>
      <c r="L84" s="323"/>
      <c r="M84" s="323"/>
      <c r="N84" s="384"/>
    </row>
    <row r="85" spans="1:14" ht="12.75">
      <c r="A85" s="366">
        <v>2005</v>
      </c>
      <c r="B85" s="323"/>
      <c r="C85" s="323"/>
      <c r="D85" s="323"/>
      <c r="E85" s="323"/>
      <c r="F85" s="323"/>
      <c r="G85" s="323"/>
      <c r="H85" s="323"/>
      <c r="I85" s="323"/>
      <c r="J85" s="371">
        <v>1.133</v>
      </c>
      <c r="K85" s="371">
        <v>1.2055</v>
      </c>
      <c r="L85" s="323"/>
      <c r="M85" s="323"/>
      <c r="N85" s="384"/>
    </row>
    <row r="86" spans="1:14" ht="12.75">
      <c r="A86" s="366">
        <v>2010</v>
      </c>
      <c r="B86" s="323"/>
      <c r="C86" s="323"/>
      <c r="D86" s="323"/>
      <c r="E86" s="323"/>
      <c r="F86" s="323"/>
      <c r="G86" s="323"/>
      <c r="H86" s="323"/>
      <c r="I86" s="323"/>
      <c r="J86" s="371"/>
      <c r="K86" s="371">
        <v>1.064</v>
      </c>
      <c r="L86" s="323"/>
      <c r="M86" s="323"/>
      <c r="N86" s="384"/>
    </row>
    <row r="87" spans="1:14" ht="12.75">
      <c r="A87" s="322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84"/>
    </row>
    <row r="88" spans="1:14" ht="12.75">
      <c r="A88" s="322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84"/>
    </row>
    <row r="89" spans="1:14" ht="12.75">
      <c r="A89" s="322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84"/>
    </row>
    <row r="90" spans="1:14" ht="12.75">
      <c r="A90" s="322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84"/>
    </row>
    <row r="91" spans="1:14" ht="12.75">
      <c r="A91" s="322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84"/>
    </row>
    <row r="92" spans="1:19" s="295" customFormat="1" ht="10.5" customHeight="1">
      <c r="A92" s="324" t="s">
        <v>339</v>
      </c>
      <c r="B92" s="324"/>
      <c r="C92" s="324"/>
      <c r="D92" s="324"/>
      <c r="E92" s="325"/>
      <c r="F92" s="324" t="s">
        <v>353</v>
      </c>
      <c r="G92" s="324"/>
      <c r="H92" s="324"/>
      <c r="I92" s="324"/>
      <c r="J92" s="324"/>
      <c r="K92" s="326" t="s">
        <v>348</v>
      </c>
      <c r="L92"/>
      <c r="M92" s="326"/>
      <c r="N92" s="386"/>
      <c r="O92" s="323"/>
      <c r="P92" s="323"/>
      <c r="Q92" s="323"/>
      <c r="R92" s="323"/>
      <c r="S92" s="323"/>
    </row>
    <row r="93" spans="1:14" s="295" customFormat="1" ht="10.5" customHeight="1">
      <c r="A93" s="324" t="s">
        <v>341</v>
      </c>
      <c r="B93" s="324"/>
      <c r="C93" s="324"/>
      <c r="D93" s="324"/>
      <c r="E93" s="325"/>
      <c r="F93" s="324" t="s">
        <v>355</v>
      </c>
      <c r="G93" s="324"/>
      <c r="H93" s="324"/>
      <c r="I93" s="324"/>
      <c r="J93" s="324"/>
      <c r="K93" s="326" t="s">
        <v>350</v>
      </c>
      <c r="L93"/>
      <c r="M93" s="326"/>
      <c r="N93" s="386"/>
    </row>
    <row r="94" spans="1:14" s="295" customFormat="1" ht="10.5" customHeight="1">
      <c r="A94" s="324" t="s">
        <v>343</v>
      </c>
      <c r="B94" s="324"/>
      <c r="C94" s="324"/>
      <c r="D94" s="324"/>
      <c r="E94" s="325"/>
      <c r="F94" s="326" t="s">
        <v>340</v>
      </c>
      <c r="G94" s="323"/>
      <c r="H94" s="326"/>
      <c r="I94" s="327"/>
      <c r="J94" s="327"/>
      <c r="K94" s="326" t="s">
        <v>367</v>
      </c>
      <c r="L94"/>
      <c r="M94" s="326"/>
      <c r="N94" s="386"/>
    </row>
    <row r="95" spans="1:14" s="295" customFormat="1" ht="10.5" customHeight="1">
      <c r="A95" s="324" t="s">
        <v>345</v>
      </c>
      <c r="E95" s="325"/>
      <c r="F95" s="326" t="s">
        <v>342</v>
      </c>
      <c r="G95"/>
      <c r="H95" s="326"/>
      <c r="I95" s="325"/>
      <c r="J95" s="325"/>
      <c r="K95" s="326" t="s">
        <v>352</v>
      </c>
      <c r="L95"/>
      <c r="M95" s="326"/>
      <c r="N95" s="387"/>
    </row>
    <row r="96" spans="1:14" s="295" customFormat="1" ht="10.5" customHeight="1">
      <c r="A96" s="324" t="s">
        <v>368</v>
      </c>
      <c r="B96" s="324"/>
      <c r="C96" s="324"/>
      <c r="D96" s="324"/>
      <c r="E96" s="325"/>
      <c r="F96" s="326" t="s">
        <v>344</v>
      </c>
      <c r="G96"/>
      <c r="H96" s="326"/>
      <c r="I96" s="325"/>
      <c r="J96" s="325"/>
      <c r="K96" s="330" t="s">
        <v>354</v>
      </c>
      <c r="L96" s="328"/>
      <c r="M96" s="328"/>
      <c r="N96" s="384"/>
    </row>
    <row r="97" spans="1:14" s="295" customFormat="1" ht="10.5" customHeight="1">
      <c r="A97" s="324" t="s">
        <v>369</v>
      </c>
      <c r="B97" s="324"/>
      <c r="C97" s="324"/>
      <c r="D97" s="324"/>
      <c r="E97" s="325"/>
      <c r="F97" s="326" t="s">
        <v>346</v>
      </c>
      <c r="G97"/>
      <c r="H97" s="326"/>
      <c r="I97" s="325"/>
      <c r="J97" s="325"/>
      <c r="K97" s="330" t="s">
        <v>370</v>
      </c>
      <c r="L97" s="328"/>
      <c r="N97" s="384"/>
    </row>
    <row r="98" spans="1:14" s="295" customFormat="1" ht="10.5" customHeight="1">
      <c r="A98" s="324" t="s">
        <v>371</v>
      </c>
      <c r="B98" s="324"/>
      <c r="C98" s="324"/>
      <c r="D98" s="324"/>
      <c r="E98" s="325"/>
      <c r="F98" s="326" t="s">
        <v>372</v>
      </c>
      <c r="G98"/>
      <c r="H98" s="326"/>
      <c r="I98" s="325"/>
      <c r="J98" s="325"/>
      <c r="K98" s="326" t="s">
        <v>356</v>
      </c>
      <c r="L98" s="328"/>
      <c r="N98" s="384"/>
    </row>
    <row r="99" spans="1:14" s="295" customFormat="1" ht="10.5" customHeight="1">
      <c r="A99" s="324" t="s">
        <v>349</v>
      </c>
      <c r="B99" s="324"/>
      <c r="C99" s="324"/>
      <c r="D99" s="324"/>
      <c r="E99" s="329"/>
      <c r="F99" s="326" t="s">
        <v>373</v>
      </c>
      <c r="G99"/>
      <c r="H99" s="326"/>
      <c r="I99" s="325"/>
      <c r="J99" s="325"/>
      <c r="K99" s="326" t="s">
        <v>374</v>
      </c>
      <c r="L99" s="328"/>
      <c r="N99" s="384"/>
    </row>
    <row r="100" spans="1:14" s="295" customFormat="1" ht="10.5" customHeight="1">
      <c r="A100" s="324" t="s">
        <v>351</v>
      </c>
      <c r="B100" s="324"/>
      <c r="C100" s="324"/>
      <c r="D100" s="324"/>
      <c r="E100" s="329"/>
      <c r="F100" s="326" t="s">
        <v>347</v>
      </c>
      <c r="G100"/>
      <c r="H100" s="326"/>
      <c r="I100" s="325"/>
      <c r="J100" s="325"/>
      <c r="K100" s="326" t="s">
        <v>357</v>
      </c>
      <c r="L100"/>
      <c r="M100" s="37"/>
      <c r="N100" s="298"/>
    </row>
    <row r="101" spans="1:16" s="295" customFormat="1" ht="10.5" customHeight="1">
      <c r="A101" s="331"/>
      <c r="B101" s="1"/>
      <c r="C101" s="1"/>
      <c r="D101" s="1"/>
      <c r="E101" s="1"/>
      <c r="F101" s="324"/>
      <c r="G101" s="324"/>
      <c r="H101" s="326"/>
      <c r="I101" s="324"/>
      <c r="J101" s="325"/>
      <c r="K101" s="326"/>
      <c r="L101"/>
      <c r="M101" s="37"/>
      <c r="N101" s="298"/>
      <c r="P101"/>
    </row>
    <row r="102" spans="1:14" s="295" customFormat="1" ht="10.5" customHeight="1">
      <c r="A102" s="332" t="s">
        <v>358</v>
      </c>
      <c r="B102" s="347"/>
      <c r="C102" s="347"/>
      <c r="D102" s="339"/>
      <c r="E102" s="348"/>
      <c r="F102" s="324" t="s">
        <v>375</v>
      </c>
      <c r="G102" s="324"/>
      <c r="H102" s="327"/>
      <c r="I102" s="324"/>
      <c r="J102" s="325"/>
      <c r="K102"/>
      <c r="L102"/>
      <c r="M102" s="37"/>
      <c r="N102" s="298"/>
    </row>
    <row r="103" spans="1:14" s="341" customFormat="1" ht="10.5" customHeight="1">
      <c r="A103" s="332" t="s">
        <v>359</v>
      </c>
      <c r="B103" s="339"/>
      <c r="C103" s="339"/>
      <c r="D103" s="339"/>
      <c r="E103" s="347"/>
      <c r="F103" s="324"/>
      <c r="G103" s="327" t="s">
        <v>360</v>
      </c>
      <c r="H103" s="327"/>
      <c r="I103" s="324"/>
      <c r="J103" s="325"/>
      <c r="K103"/>
      <c r="L103"/>
      <c r="M103" s="37"/>
      <c r="N103" s="298"/>
    </row>
    <row r="104" spans="1:14" s="341" customFormat="1" ht="10.5" customHeight="1">
      <c r="A104" s="332" t="s">
        <v>361</v>
      </c>
      <c r="B104" s="338"/>
      <c r="C104" s="338"/>
      <c r="D104" s="338"/>
      <c r="E104" s="347"/>
      <c r="F104"/>
      <c r="G104" s="327" t="s">
        <v>362</v>
      </c>
      <c r="H104" s="327"/>
      <c r="I104"/>
      <c r="J104" s="325"/>
      <c r="K104"/>
      <c r="L104"/>
      <c r="M104" s="37"/>
      <c r="N104" s="298"/>
    </row>
    <row r="105" spans="1:14" s="341" customFormat="1" ht="10.5" customHeight="1">
      <c r="A105" s="333" t="s">
        <v>363</v>
      </c>
      <c r="B105" s="349"/>
      <c r="C105" s="349"/>
      <c r="D105" s="350"/>
      <c r="E105" s="351"/>
      <c r="F105"/>
      <c r="G105" s="324"/>
      <c r="H105" s="295"/>
      <c r="I105" s="295"/>
      <c r="J105" s="295"/>
      <c r="K105" s="295"/>
      <c r="L105"/>
      <c r="M105" s="37"/>
      <c r="N105" s="298"/>
    </row>
    <row r="106" spans="1:14" s="341" customFormat="1" ht="12.75">
      <c r="A106"/>
      <c r="B106"/>
      <c r="C106"/>
      <c r="D106"/>
      <c r="E106" s="37"/>
      <c r="F106" s="334" t="s">
        <v>364</v>
      </c>
      <c r="G106" s="295" t="s">
        <v>365</v>
      </c>
      <c r="H106" s="295"/>
      <c r="I106" s="295"/>
      <c r="J106" s="295"/>
      <c r="K106" s="295"/>
      <c r="L106" s="295"/>
      <c r="M106" s="295"/>
      <c r="N106" s="377"/>
    </row>
    <row r="107" spans="1:14" s="341" customFormat="1" ht="10.5" customHeight="1">
      <c r="A107" s="335" t="s">
        <v>358</v>
      </c>
      <c r="B107" s="335"/>
      <c r="C107" s="335"/>
      <c r="D107" s="352"/>
      <c r="E107" s="348"/>
      <c r="F107"/>
      <c r="G107" s="295" t="s">
        <v>376</v>
      </c>
      <c r="H107" s="295"/>
      <c r="I107" s="295"/>
      <c r="J107" s="295"/>
      <c r="K107" s="295"/>
      <c r="L107" s="295"/>
      <c r="M107" s="295"/>
      <c r="N107" s="377"/>
    </row>
    <row r="108" spans="1:14" s="341" customFormat="1" ht="10.5" customHeight="1">
      <c r="A108" s="336" t="s">
        <v>366</v>
      </c>
      <c r="B108" s="339"/>
      <c r="C108" s="339"/>
      <c r="D108" s="339"/>
      <c r="E108" s="347"/>
      <c r="F108" s="337"/>
      <c r="G108" s="295" t="s">
        <v>377</v>
      </c>
      <c r="H108" s="295"/>
      <c r="I108" s="295"/>
      <c r="J108" s="295"/>
      <c r="K108" s="295"/>
      <c r="L108" s="295"/>
      <c r="M108" s="295"/>
      <c r="N108" s="377"/>
    </row>
    <row r="109" spans="1:14" s="341" customFormat="1" ht="10.5" customHeight="1">
      <c r="A109" s="336" t="s">
        <v>361</v>
      </c>
      <c r="B109" s="336"/>
      <c r="C109" s="336"/>
      <c r="D109" s="339"/>
      <c r="E109" s="347"/>
      <c r="F109"/>
      <c r="G109" s="295" t="s">
        <v>378</v>
      </c>
      <c r="H109" s="338"/>
      <c r="I109" s="338"/>
      <c r="J109" s="338"/>
      <c r="K109" s="338"/>
      <c r="L109" s="338"/>
      <c r="M109" s="339"/>
      <c r="N109" s="377"/>
    </row>
    <row r="110" spans="1:14" s="341" customFormat="1" ht="10.5" customHeight="1">
      <c r="A110" s="333" t="s">
        <v>379</v>
      </c>
      <c r="B110" s="350"/>
      <c r="C110" s="350"/>
      <c r="D110" s="350"/>
      <c r="E110" s="353"/>
      <c r="F110"/>
      <c r="G110" s="295" t="s">
        <v>380</v>
      </c>
      <c r="H110" s="338"/>
      <c r="I110" s="338"/>
      <c r="J110" s="338"/>
      <c r="K110" s="338"/>
      <c r="L110" s="338"/>
      <c r="M110" s="339"/>
      <c r="N110" s="377"/>
    </row>
    <row r="111" spans="1:14" s="341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 s="37"/>
      <c r="N111" s="377"/>
    </row>
    <row r="112" spans="1:19" s="341" customFormat="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 s="340"/>
      <c r="N112" s="388"/>
      <c r="O112"/>
      <c r="P112"/>
      <c r="Q112"/>
      <c r="R112"/>
      <c r="S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 s="340"/>
    </row>
    <row r="114" spans="1:13" ht="12.75">
      <c r="A114"/>
      <c r="B114"/>
      <c r="C114"/>
      <c r="D114"/>
      <c r="E114"/>
      <c r="F114" s="342"/>
      <c r="G114" s="342"/>
      <c r="H114" s="342"/>
      <c r="I114" s="342"/>
      <c r="J114"/>
      <c r="K114"/>
      <c r="L114"/>
      <c r="M114" s="340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 s="340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 s="340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 s="340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 s="340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 s="340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 s="34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 s="340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 s="340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 s="340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 s="340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 s="340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 s="340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 s="340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 s="340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 s="340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 s="34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 s="340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 s="340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 s="340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 s="340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 s="340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 s="340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 s="340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 s="340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 s="340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 s="3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 s="340"/>
    </row>
    <row r="142" ht="12.75">
      <c r="M142" s="343"/>
    </row>
    <row r="143" ht="12.75">
      <c r="M143" s="343"/>
    </row>
    <row r="144" ht="12.75">
      <c r="M144" s="343"/>
    </row>
    <row r="145" ht="12.75">
      <c r="M145" s="343"/>
    </row>
    <row r="146" ht="12.75">
      <c r="M146" s="343"/>
    </row>
    <row r="147" ht="12.75">
      <c r="M147" s="343"/>
    </row>
    <row r="148" ht="12.75">
      <c r="M148" s="343"/>
    </row>
    <row r="149" ht="12.75">
      <c r="M149" s="343"/>
    </row>
    <row r="150" ht="12.75">
      <c r="M150" s="343"/>
    </row>
    <row r="151" ht="12.75">
      <c r="M151" s="343"/>
    </row>
    <row r="152" ht="12.75">
      <c r="M152" s="343"/>
    </row>
    <row r="153" ht="12.75">
      <c r="M153" s="343"/>
    </row>
    <row r="154" ht="12.75">
      <c r="M154" s="343"/>
    </row>
    <row r="155" ht="12.75">
      <c r="M155" s="343"/>
    </row>
    <row r="156" ht="12.75">
      <c r="M156" s="343"/>
    </row>
    <row r="157" ht="12.75">
      <c r="M157" s="343"/>
    </row>
    <row r="158" ht="12.75">
      <c r="M158" s="343"/>
    </row>
    <row r="159" ht="12.75">
      <c r="M159" s="343"/>
    </row>
    <row r="160" ht="12.75">
      <c r="M160" s="343"/>
    </row>
    <row r="161" ht="12.75">
      <c r="M161" s="343"/>
    </row>
    <row r="162" ht="12.75">
      <c r="M162" s="343"/>
    </row>
    <row r="163" ht="12.75">
      <c r="M163" s="343"/>
    </row>
    <row r="164" ht="12.75">
      <c r="M164" s="343"/>
    </row>
    <row r="165" ht="12.75">
      <c r="M165" s="343"/>
    </row>
    <row r="166" ht="12.75">
      <c r="M166" s="343"/>
    </row>
    <row r="167" ht="12.75">
      <c r="M167" s="343"/>
    </row>
    <row r="168" ht="12.75">
      <c r="M168" s="343"/>
    </row>
    <row r="169" ht="12.75">
      <c r="M169" s="343"/>
    </row>
    <row r="170" ht="12.75">
      <c r="M170" s="343"/>
    </row>
    <row r="171" ht="12.75">
      <c r="M171" s="343"/>
    </row>
    <row r="172" ht="12.75">
      <c r="M172" s="343"/>
    </row>
    <row r="173" ht="12.75">
      <c r="M173" s="343"/>
    </row>
    <row r="174" ht="12.75">
      <c r="M174" s="343"/>
    </row>
    <row r="175" ht="12.75">
      <c r="M175" s="343"/>
    </row>
    <row r="176" ht="12.75">
      <c r="M176" s="343"/>
    </row>
    <row r="177" ht="12.75">
      <c r="M177" s="343"/>
    </row>
    <row r="178" ht="12.75">
      <c r="M178" s="343"/>
    </row>
    <row r="179" ht="12.75">
      <c r="M179" s="343"/>
    </row>
    <row r="180" ht="12.75">
      <c r="M180" s="343"/>
    </row>
    <row r="181" ht="12.75">
      <c r="M181" s="343"/>
    </row>
    <row r="182" ht="12.75">
      <c r="M182" s="343"/>
    </row>
    <row r="183" ht="12.75">
      <c r="M183" s="343"/>
    </row>
    <row r="184" ht="12.75">
      <c r="M184" s="343"/>
    </row>
    <row r="185" ht="12.75">
      <c r="M185" s="343"/>
    </row>
    <row r="186" ht="12.75">
      <c r="M186" s="343"/>
    </row>
    <row r="187" ht="12.75">
      <c r="M187" s="343"/>
    </row>
    <row r="188" ht="12.75">
      <c r="M188" s="343"/>
    </row>
    <row r="189" ht="12.75">
      <c r="M189" s="343"/>
    </row>
    <row r="190" ht="12.75">
      <c r="M190" s="343"/>
    </row>
    <row r="191" ht="12.75">
      <c r="M191" s="343"/>
    </row>
    <row r="192" ht="12.75">
      <c r="M192" s="343"/>
    </row>
    <row r="193" ht="12.75">
      <c r="M193" s="343"/>
    </row>
    <row r="194" ht="12.75">
      <c r="M194" s="343"/>
    </row>
    <row r="195" ht="12.75">
      <c r="M195" s="343"/>
    </row>
    <row r="196" ht="12.75">
      <c r="M196" s="343"/>
    </row>
    <row r="197" ht="12.75">
      <c r="M197" s="343"/>
    </row>
    <row r="198" ht="12.75">
      <c r="M198" s="343"/>
    </row>
    <row r="199" ht="12.75">
      <c r="M199" s="343"/>
    </row>
    <row r="200" ht="12.75">
      <c r="M200" s="343"/>
    </row>
    <row r="201" ht="12.75">
      <c r="M201" s="343"/>
    </row>
    <row r="202" ht="12.75">
      <c r="M202" s="343"/>
    </row>
    <row r="203" ht="12.75">
      <c r="M203" s="343"/>
    </row>
    <row r="204" ht="12.75">
      <c r="M204" s="343"/>
    </row>
    <row r="205" ht="12.75">
      <c r="M205" s="343"/>
    </row>
    <row r="206" ht="12.75">
      <c r="M206" s="343"/>
    </row>
    <row r="207" ht="12.75">
      <c r="M207" s="343"/>
    </row>
    <row r="208" ht="12.75">
      <c r="M208" s="343"/>
    </row>
    <row r="209" ht="12.75">
      <c r="M209" s="343"/>
    </row>
    <row r="210" ht="12.75">
      <c r="M210" s="343"/>
    </row>
    <row r="211" ht="12.75">
      <c r="M211" s="343"/>
    </row>
    <row r="212" ht="12.75">
      <c r="M212" s="343"/>
    </row>
    <row r="213" ht="12.75">
      <c r="M213" s="343"/>
    </row>
    <row r="214" ht="12.75">
      <c r="M214" s="343"/>
    </row>
    <row r="215" ht="12.75">
      <c r="M215" s="343"/>
    </row>
    <row r="216" ht="12.75">
      <c r="M216" s="343"/>
    </row>
    <row r="217" ht="12.75">
      <c r="M217" s="343"/>
    </row>
    <row r="218" ht="12.75">
      <c r="M218" s="343"/>
    </row>
    <row r="219" ht="12.75">
      <c r="M219" s="343"/>
    </row>
    <row r="220" ht="12.75">
      <c r="M220" s="343"/>
    </row>
    <row r="221" ht="12.75">
      <c r="M221" s="343"/>
    </row>
    <row r="222" ht="12.75">
      <c r="M222" s="343"/>
    </row>
    <row r="223" ht="12.75">
      <c r="M223" s="343"/>
    </row>
    <row r="224" ht="12.75">
      <c r="M224" s="343"/>
    </row>
    <row r="225" ht="12.75">
      <c r="M225" s="343"/>
    </row>
    <row r="226" ht="12.75">
      <c r="M226" s="343"/>
    </row>
    <row r="227" ht="12.75">
      <c r="M227" s="343"/>
    </row>
    <row r="228" ht="12.75">
      <c r="M228" s="343"/>
    </row>
    <row r="229" ht="12.75">
      <c r="M229" s="343"/>
    </row>
    <row r="230" ht="12.75">
      <c r="M230" s="343"/>
    </row>
    <row r="231" ht="12.75">
      <c r="M231" s="343"/>
    </row>
    <row r="232" ht="12.75">
      <c r="M232" s="343"/>
    </row>
    <row r="233" ht="12.75">
      <c r="M233" s="343"/>
    </row>
    <row r="234" ht="12.75">
      <c r="M234" s="343"/>
    </row>
    <row r="235" ht="12.75">
      <c r="M235" s="343"/>
    </row>
    <row r="236" ht="12.75">
      <c r="M236" s="344"/>
    </row>
    <row r="237" ht="12.75">
      <c r="M237" s="344"/>
    </row>
    <row r="238" ht="12.75">
      <c r="M238" s="344"/>
    </row>
    <row r="239" ht="12.75">
      <c r="M239" s="344"/>
    </row>
  </sheetData>
  <sheetProtection/>
  <mergeCells count="7">
    <mergeCell ref="A78:B78"/>
    <mergeCell ref="A79:B79"/>
    <mergeCell ref="C76:N76"/>
    <mergeCell ref="A1:N1"/>
    <mergeCell ref="A2:N2"/>
    <mergeCell ref="A4:N4"/>
    <mergeCell ref="A5:N5"/>
  </mergeCells>
  <printOptions/>
  <pageMargins left="0.75" right="0.75" top="1" bottom="1" header="0.5" footer="0.5"/>
  <pageSetup fitToHeight="1" fitToWidth="1" horizontalDpi="600" verticalDpi="600" orientation="portrait" paperSize="9" scale="23" r:id="rId2"/>
  <headerFooter alignWithMargins="0">
    <oddHeader>&amp;C&amp;A&amp;RCOMUNE DI CARPI
Servizio Edilizia Privata</oddHeader>
    <oddFooter>&amp;L&amp;F&amp;R&amp;D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37" sqref="F37"/>
    </sheetView>
  </sheetViews>
  <sheetFormatPr defaultColWidth="8.8515625" defaultRowHeight="12.75"/>
  <cols>
    <col min="1" max="1" width="22.8515625" style="173" customWidth="1"/>
    <col min="2" max="2" width="12.00390625" style="209" customWidth="1"/>
    <col min="3" max="3" width="10.421875" style="0" customWidth="1"/>
    <col min="4" max="4" width="10.140625" style="0" customWidth="1"/>
    <col min="5" max="5" width="10.421875" style="0" customWidth="1"/>
    <col min="6" max="6" width="45.421875" style="0" customWidth="1"/>
  </cols>
  <sheetData>
    <row r="1" spans="1:2" s="122" customFormat="1" ht="12.75">
      <c r="A1" s="364" t="s">
        <v>428</v>
      </c>
      <c r="B1" s="365"/>
    </row>
    <row r="2" spans="1:2" s="122" customFormat="1" ht="12.75">
      <c r="A2" s="364" t="s">
        <v>429</v>
      </c>
      <c r="B2" s="365"/>
    </row>
    <row r="3" spans="1:6" ht="12.75">
      <c r="A3" s="575" t="s">
        <v>382</v>
      </c>
      <c r="B3" s="624" t="s">
        <v>383</v>
      </c>
      <c r="C3" s="575"/>
      <c r="D3" s="96"/>
      <c r="E3" s="96"/>
      <c r="F3" s="96"/>
    </row>
    <row r="4" spans="1:6" ht="38.25">
      <c r="A4" s="575"/>
      <c r="B4" s="363" t="s">
        <v>384</v>
      </c>
      <c r="C4" s="363" t="s">
        <v>385</v>
      </c>
      <c r="D4" s="96"/>
      <c r="E4" s="96"/>
      <c r="F4" s="96"/>
    </row>
    <row r="5" spans="1:5" ht="12.75">
      <c r="A5" s="173" t="s">
        <v>386</v>
      </c>
      <c r="B5" s="209">
        <v>250000</v>
      </c>
      <c r="C5" s="209">
        <v>225000</v>
      </c>
      <c r="D5" t="s">
        <v>387</v>
      </c>
      <c r="E5" t="s">
        <v>388</v>
      </c>
    </row>
    <row r="6" spans="1:6" ht="12.75">
      <c r="A6" s="173">
        <v>1976</v>
      </c>
      <c r="B6" s="209">
        <v>285000</v>
      </c>
      <c r="F6" t="s">
        <v>389</v>
      </c>
    </row>
    <row r="7" spans="1:6" ht="12.75">
      <c r="A7" s="173">
        <v>1977</v>
      </c>
      <c r="B7" s="209">
        <v>325000</v>
      </c>
      <c r="F7" t="s">
        <v>390</v>
      </c>
    </row>
    <row r="8" spans="1:6" ht="12.75">
      <c r="A8" s="173">
        <v>1978</v>
      </c>
      <c r="B8" s="209">
        <v>370000</v>
      </c>
      <c r="F8" t="s">
        <v>391</v>
      </c>
    </row>
    <row r="9" spans="1:6" ht="12.75">
      <c r="A9" s="173">
        <v>1979</v>
      </c>
      <c r="B9" s="209">
        <v>430000</v>
      </c>
      <c r="F9" t="s">
        <v>392</v>
      </c>
    </row>
    <row r="10" spans="1:6" ht="12.75">
      <c r="A10" s="173">
        <v>1980</v>
      </c>
      <c r="B10" s="209">
        <v>500000</v>
      </c>
      <c r="F10" t="s">
        <v>393</v>
      </c>
    </row>
    <row r="11" spans="1:6" ht="12.75">
      <c r="A11" s="173">
        <v>1981</v>
      </c>
      <c r="B11" s="209">
        <v>580000</v>
      </c>
      <c r="F11" t="s">
        <v>394</v>
      </c>
    </row>
    <row r="12" spans="1:6" ht="12.75">
      <c r="A12" s="173">
        <v>1982</v>
      </c>
      <c r="B12" s="209">
        <v>680000</v>
      </c>
      <c r="F12" t="s">
        <v>395</v>
      </c>
    </row>
    <row r="13" spans="1:6" ht="12.75">
      <c r="A13" s="173" t="s">
        <v>396</v>
      </c>
      <c r="B13" s="209">
        <v>770000</v>
      </c>
      <c r="F13" t="s">
        <v>397</v>
      </c>
    </row>
    <row r="14" spans="1:6" ht="12.75">
      <c r="A14" s="173" t="s">
        <v>398</v>
      </c>
      <c r="B14" s="209">
        <v>840000</v>
      </c>
      <c r="F14" t="s">
        <v>399</v>
      </c>
    </row>
    <row r="15" spans="1:6" ht="12.75">
      <c r="A15" s="173" t="s">
        <v>400</v>
      </c>
      <c r="B15" s="209">
        <v>900000</v>
      </c>
      <c r="F15" t="s">
        <v>401</v>
      </c>
    </row>
    <row r="16" spans="1:6" ht="12.75">
      <c r="A16" s="173" t="s">
        <v>402</v>
      </c>
      <c r="B16" s="209">
        <v>930000</v>
      </c>
      <c r="F16" t="s">
        <v>403</v>
      </c>
    </row>
    <row r="17" spans="1:6" ht="12.75">
      <c r="A17" s="173" t="s">
        <v>404</v>
      </c>
      <c r="B17" s="209">
        <v>970000</v>
      </c>
      <c r="F17" t="s">
        <v>405</v>
      </c>
    </row>
    <row r="18" spans="1:6" ht="12.75">
      <c r="A18" s="173" t="s">
        <v>406</v>
      </c>
      <c r="B18" s="209">
        <v>1030000</v>
      </c>
      <c r="F18" t="s">
        <v>407</v>
      </c>
    </row>
    <row r="19" spans="1:6" ht="12.75">
      <c r="A19" s="173" t="s">
        <v>408</v>
      </c>
      <c r="B19" s="209">
        <v>1090000</v>
      </c>
      <c r="F19" t="s">
        <v>409</v>
      </c>
    </row>
    <row r="20" spans="1:6" ht="12.75">
      <c r="A20" s="173" t="s">
        <v>410</v>
      </c>
      <c r="B20" s="209">
        <v>1155000</v>
      </c>
      <c r="F20" t="s">
        <v>411</v>
      </c>
    </row>
    <row r="21" spans="1:6" ht="12.75">
      <c r="A21" s="173" t="s">
        <v>412</v>
      </c>
      <c r="B21" s="209">
        <v>1250000</v>
      </c>
      <c r="F21" t="s">
        <v>413</v>
      </c>
    </row>
    <row r="22" spans="1:6" ht="12.75">
      <c r="A22" s="173" t="s">
        <v>414</v>
      </c>
      <c r="B22" s="209">
        <v>1275000</v>
      </c>
      <c r="F22" t="s">
        <v>415</v>
      </c>
    </row>
    <row r="23" spans="1:6" ht="12.75">
      <c r="A23" s="173" t="s">
        <v>416</v>
      </c>
      <c r="B23" s="209">
        <v>1277000</v>
      </c>
      <c r="F23" t="s">
        <v>417</v>
      </c>
    </row>
    <row r="24" spans="1:6" ht="12.75">
      <c r="A24" s="173" t="s">
        <v>418</v>
      </c>
      <c r="B24" s="209">
        <v>1309000</v>
      </c>
      <c r="F24" t="s">
        <v>419</v>
      </c>
    </row>
    <row r="25" spans="1:6" ht="12.75">
      <c r="A25" s="173" t="s">
        <v>420</v>
      </c>
      <c r="B25" s="209">
        <v>1347000</v>
      </c>
      <c r="F25" t="s">
        <v>421</v>
      </c>
    </row>
    <row r="26" spans="1:6" ht="12.75">
      <c r="A26" s="173" t="s">
        <v>422</v>
      </c>
      <c r="B26" s="209">
        <v>1383000</v>
      </c>
      <c r="F26" t="s">
        <v>423</v>
      </c>
    </row>
    <row r="27" spans="1:6" ht="12.75">
      <c r="A27" s="173" t="s">
        <v>424</v>
      </c>
      <c r="B27" s="209">
        <v>1422000</v>
      </c>
      <c r="F27" t="s">
        <v>425</v>
      </c>
    </row>
    <row r="28" spans="1:6" ht="12.75">
      <c r="A28" s="173" t="s">
        <v>426</v>
      </c>
      <c r="B28" s="209">
        <v>1450000</v>
      </c>
      <c r="F28" t="s">
        <v>427</v>
      </c>
    </row>
    <row r="29" spans="1:7" ht="12.75">
      <c r="A29" s="173">
        <v>1998</v>
      </c>
      <c r="B29" s="30">
        <v>737.55</v>
      </c>
      <c r="G29" t="s">
        <v>438</v>
      </c>
    </row>
    <row r="30" spans="1:2" ht="12.75">
      <c r="A30" s="173">
        <f>A29+1</f>
        <v>1999</v>
      </c>
      <c r="B30" s="30">
        <v>751.93</v>
      </c>
    </row>
    <row r="31" spans="1:2" ht="12.75">
      <c r="A31" s="173">
        <f aca="true" t="shared" si="0" ref="A31:A44">A30+1</f>
        <v>2000</v>
      </c>
      <c r="B31" s="30">
        <v>775.67</v>
      </c>
    </row>
    <row r="32" spans="1:2" ht="12.75">
      <c r="A32" s="173">
        <f t="shared" si="0"/>
        <v>2001</v>
      </c>
      <c r="B32" s="30">
        <v>789</v>
      </c>
    </row>
    <row r="33" spans="1:2" ht="12.75">
      <c r="A33" s="173">
        <f t="shared" si="0"/>
        <v>2002</v>
      </c>
      <c r="B33" s="30">
        <v>818.88</v>
      </c>
    </row>
    <row r="34" spans="1:2" ht="12.75">
      <c r="A34" s="173">
        <f t="shared" si="0"/>
        <v>2003</v>
      </c>
      <c r="B34" s="30">
        <v>841.57</v>
      </c>
    </row>
    <row r="35" spans="1:2" ht="12.75">
      <c r="A35" s="173">
        <f t="shared" si="0"/>
        <v>2004</v>
      </c>
      <c r="B35" s="30">
        <v>887.92</v>
      </c>
    </row>
    <row r="36" spans="1:2" ht="12.75">
      <c r="A36" s="173">
        <f t="shared" si="0"/>
        <v>2005</v>
      </c>
      <c r="B36" s="30">
        <v>912.64</v>
      </c>
    </row>
    <row r="37" spans="1:2" ht="12.75">
      <c r="A37" s="173">
        <f t="shared" si="0"/>
        <v>2006</v>
      </c>
      <c r="B37" s="30">
        <v>941.47</v>
      </c>
    </row>
    <row r="38" spans="1:2" ht="12.75">
      <c r="A38" s="173">
        <f t="shared" si="0"/>
        <v>2007</v>
      </c>
      <c r="B38" s="30">
        <v>972.39</v>
      </c>
    </row>
    <row r="39" spans="1:2" ht="12.75">
      <c r="A39" s="173">
        <f t="shared" si="0"/>
        <v>2008</v>
      </c>
      <c r="B39" s="30">
        <v>1010.51</v>
      </c>
    </row>
    <row r="40" spans="1:2" ht="12.75">
      <c r="A40" s="173">
        <f t="shared" si="0"/>
        <v>2009</v>
      </c>
      <c r="B40" s="30">
        <v>1013.58</v>
      </c>
    </row>
    <row r="41" spans="1:2" ht="12.75">
      <c r="A41" s="173">
        <f t="shared" si="0"/>
        <v>2010</v>
      </c>
      <c r="B41" s="30">
        <v>1035.22</v>
      </c>
    </row>
    <row r="42" spans="1:2" ht="12.75">
      <c r="A42" s="173">
        <f t="shared" si="0"/>
        <v>2011</v>
      </c>
      <c r="B42" s="30">
        <v>1066.15</v>
      </c>
    </row>
    <row r="43" spans="1:2" ht="12.75">
      <c r="A43" s="173">
        <f t="shared" si="0"/>
        <v>2012</v>
      </c>
      <c r="B43" s="30">
        <v>1087.72</v>
      </c>
    </row>
    <row r="44" spans="1:2" ht="12.75">
      <c r="A44" s="173">
        <f t="shared" si="0"/>
        <v>2013</v>
      </c>
      <c r="B44" s="30">
        <v>1090.86</v>
      </c>
    </row>
  </sheetData>
  <sheetProtection/>
  <mergeCells count="2">
    <mergeCell ref="A3:A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H17"/>
  <sheetViews>
    <sheetView zoomScalePageLayoutView="0" workbookViewId="0" topLeftCell="A1">
      <selection activeCell="F9" sqref="F9"/>
    </sheetView>
  </sheetViews>
  <sheetFormatPr defaultColWidth="8.8515625" defaultRowHeight="12.75"/>
  <cols>
    <col min="4" max="4" width="10.7109375" style="209" customWidth="1"/>
  </cols>
  <sheetData>
    <row r="1" ht="12.75">
      <c r="A1" t="s">
        <v>259</v>
      </c>
    </row>
    <row r="3" spans="2:4" ht="12.75">
      <c r="B3" t="s">
        <v>260</v>
      </c>
      <c r="D3" s="209" t="s">
        <v>261</v>
      </c>
    </row>
    <row r="4" spans="2:5" ht="12.75">
      <c r="B4">
        <v>1960</v>
      </c>
      <c r="D4" s="209">
        <v>10300</v>
      </c>
      <c r="E4" t="s">
        <v>121</v>
      </c>
    </row>
    <row r="5" spans="2:5" ht="12.75">
      <c r="B5">
        <v>1963</v>
      </c>
      <c r="D5" s="209">
        <v>15800</v>
      </c>
      <c r="E5" t="s">
        <v>121</v>
      </c>
    </row>
    <row r="6" spans="2:5" ht="12.75">
      <c r="B6">
        <v>1965</v>
      </c>
      <c r="D6" s="209">
        <v>16500</v>
      </c>
      <c r="E6" t="s">
        <v>121</v>
      </c>
    </row>
    <row r="7" spans="2:5" ht="12.75">
      <c r="B7">
        <v>1970</v>
      </c>
      <c r="D7" s="209">
        <v>23000</v>
      </c>
      <c r="E7" t="s">
        <v>121</v>
      </c>
    </row>
    <row r="8" spans="2:5" ht="12.75">
      <c r="B8">
        <v>1975</v>
      </c>
      <c r="D8" s="209">
        <v>50400</v>
      </c>
      <c r="E8" t="s">
        <v>121</v>
      </c>
    </row>
    <row r="10" spans="2:4" ht="12.75">
      <c r="B10" s="122">
        <v>2010</v>
      </c>
      <c r="C10" s="122"/>
      <c r="D10" s="360">
        <v>257.55</v>
      </c>
    </row>
    <row r="11" ht="13.5" thickBot="1"/>
    <row r="12" spans="1:8" ht="13.5" thickBot="1">
      <c r="A12" s="625" t="s">
        <v>262</v>
      </c>
      <c r="B12" s="626"/>
      <c r="C12" s="626"/>
      <c r="D12" s="211">
        <f>H12/1936.27</f>
        <v>26.02942771411012</v>
      </c>
      <c r="E12" t="str">
        <f>'costo produzione'!F14</f>
        <v>euro</v>
      </c>
      <c r="G12" t="str">
        <f>'costo produzione'!H14</f>
        <v>lire</v>
      </c>
      <c r="H12" s="210">
        <f>D8</f>
        <v>50400</v>
      </c>
    </row>
    <row r="14" spans="1:4" ht="12.75">
      <c r="A14" s="625" t="s">
        <v>263</v>
      </c>
      <c r="B14" s="626"/>
      <c r="C14" s="626"/>
      <c r="D14" s="212">
        <v>8.2267</v>
      </c>
    </row>
    <row r="17" spans="1:5" ht="12.75">
      <c r="A17" s="625" t="s">
        <v>264</v>
      </c>
      <c r="B17" s="626"/>
      <c r="C17" s="626"/>
      <c r="D17" s="211">
        <f>D12*D14</f>
        <v>214.1362929756697</v>
      </c>
      <c r="E17" t="s">
        <v>28</v>
      </c>
    </row>
  </sheetData>
  <sheetProtection/>
  <mergeCells count="3">
    <mergeCell ref="A17:C17"/>
    <mergeCell ref="A12:C12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10" sqref="M10"/>
    </sheetView>
  </sheetViews>
  <sheetFormatPr defaultColWidth="9.140625" defaultRowHeight="12.75"/>
  <cols>
    <col min="1" max="1" width="9.140625" style="389" customWidth="1"/>
    <col min="2" max="14" width="9.140625" style="390" customWidth="1"/>
  </cols>
  <sheetData>
    <row r="1" spans="1:14" ht="15">
      <c r="A1" s="627" t="s">
        <v>439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3" spans="1:14" ht="15">
      <c r="A3" s="391" t="s">
        <v>440</v>
      </c>
      <c r="B3" s="392" t="s">
        <v>319</v>
      </c>
      <c r="C3" s="392" t="s">
        <v>320</v>
      </c>
      <c r="D3" s="392" t="s">
        <v>321</v>
      </c>
      <c r="E3" s="392" t="s">
        <v>322</v>
      </c>
      <c r="F3" s="392" t="s">
        <v>323</v>
      </c>
      <c r="G3" s="392" t="s">
        <v>324</v>
      </c>
      <c r="H3" s="392" t="s">
        <v>325</v>
      </c>
      <c r="I3" s="392" t="s">
        <v>326</v>
      </c>
      <c r="J3" s="392" t="s">
        <v>327</v>
      </c>
      <c r="K3" s="392" t="s">
        <v>328</v>
      </c>
      <c r="L3" s="392" t="s">
        <v>329</v>
      </c>
      <c r="M3" s="392" t="s">
        <v>330</v>
      </c>
      <c r="N3" s="392" t="s">
        <v>331</v>
      </c>
    </row>
    <row r="4" spans="1:14" ht="15">
      <c r="A4" s="629" t="s">
        <v>441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</row>
    <row r="5" spans="1:14" ht="15">
      <c r="A5" s="391">
        <v>1967</v>
      </c>
      <c r="B5" s="392">
        <v>3.1</v>
      </c>
      <c r="C5" s="392">
        <v>3.1</v>
      </c>
      <c r="D5" s="392">
        <v>3.1</v>
      </c>
      <c r="E5" s="392">
        <v>3.1</v>
      </c>
      <c r="F5" s="392">
        <v>3.1</v>
      </c>
      <c r="G5" s="392">
        <v>3.1</v>
      </c>
      <c r="H5" s="392">
        <v>3.1</v>
      </c>
      <c r="I5" s="392">
        <v>3.2</v>
      </c>
      <c r="J5" s="392">
        <v>3.1</v>
      </c>
      <c r="K5" s="392">
        <v>3.1</v>
      </c>
      <c r="L5" s="392">
        <v>3.2</v>
      </c>
      <c r="M5" s="392">
        <v>3.2</v>
      </c>
      <c r="N5" s="392">
        <v>3.1</v>
      </c>
    </row>
    <row r="6" spans="1:14" ht="15">
      <c r="A6" s="393">
        <v>1968</v>
      </c>
      <c r="B6" s="392">
        <v>3.2</v>
      </c>
      <c r="C6" s="392">
        <v>3.2</v>
      </c>
      <c r="D6" s="392">
        <v>3.2</v>
      </c>
      <c r="E6" s="392">
        <v>3.2</v>
      </c>
      <c r="F6" s="392">
        <v>3.2</v>
      </c>
      <c r="G6" s="392">
        <v>3.2</v>
      </c>
      <c r="H6" s="392">
        <v>3.2</v>
      </c>
      <c r="I6" s="392">
        <v>3.2</v>
      </c>
      <c r="J6" s="392">
        <v>3.2</v>
      </c>
      <c r="K6" s="392">
        <v>3.2</v>
      </c>
      <c r="L6" s="392">
        <v>3.2</v>
      </c>
      <c r="M6" s="392">
        <v>3.2</v>
      </c>
      <c r="N6" s="392">
        <v>3.2</v>
      </c>
    </row>
    <row r="7" spans="1:14" ht="15">
      <c r="A7" s="393">
        <v>1969</v>
      </c>
      <c r="B7" s="392">
        <v>3.3</v>
      </c>
      <c r="C7" s="392">
        <v>3.3</v>
      </c>
      <c r="D7" s="392">
        <v>3.3</v>
      </c>
      <c r="E7" s="392">
        <v>3.4</v>
      </c>
      <c r="F7" s="392">
        <v>3.4</v>
      </c>
      <c r="G7" s="392">
        <v>3.5</v>
      </c>
      <c r="H7" s="392">
        <v>3.6</v>
      </c>
      <c r="I7" s="392">
        <v>3.6</v>
      </c>
      <c r="J7" s="392">
        <v>3.6</v>
      </c>
      <c r="K7" s="392">
        <v>3.6</v>
      </c>
      <c r="L7" s="392">
        <v>3.7</v>
      </c>
      <c r="M7" s="392">
        <v>3.7</v>
      </c>
      <c r="N7" s="392">
        <v>3.5</v>
      </c>
    </row>
    <row r="8" spans="1:14" ht="15">
      <c r="A8" s="393">
        <v>1970</v>
      </c>
      <c r="B8" s="392">
        <v>3.9</v>
      </c>
      <c r="C8" s="392">
        <v>3.9</v>
      </c>
      <c r="D8" s="392">
        <v>3.9</v>
      </c>
      <c r="E8" s="392">
        <v>3.9</v>
      </c>
      <c r="F8" s="392">
        <v>4</v>
      </c>
      <c r="G8" s="392">
        <v>4</v>
      </c>
      <c r="H8" s="392">
        <v>3.9</v>
      </c>
      <c r="I8" s="392">
        <v>4</v>
      </c>
      <c r="J8" s="392">
        <v>4</v>
      </c>
      <c r="K8" s="392">
        <v>4</v>
      </c>
      <c r="L8" s="392">
        <v>4</v>
      </c>
      <c r="M8" s="392">
        <v>4</v>
      </c>
      <c r="N8" s="392">
        <v>4</v>
      </c>
    </row>
    <row r="9" spans="1:14" ht="15">
      <c r="A9" s="393">
        <v>1971</v>
      </c>
      <c r="B9" s="392">
        <v>4.2</v>
      </c>
      <c r="C9" s="392">
        <v>4.2</v>
      </c>
      <c r="D9" s="392">
        <v>4.2</v>
      </c>
      <c r="E9" s="392">
        <v>4.2</v>
      </c>
      <c r="F9" s="392">
        <v>4.2</v>
      </c>
      <c r="G9" s="392">
        <v>4.2</v>
      </c>
      <c r="H9" s="392">
        <v>4.2</v>
      </c>
      <c r="I9" s="392">
        <v>4.2</v>
      </c>
      <c r="J9" s="392">
        <v>4.2</v>
      </c>
      <c r="K9" s="392">
        <v>4.2</v>
      </c>
      <c r="L9" s="392">
        <v>4.3</v>
      </c>
      <c r="M9" s="392">
        <v>4.3</v>
      </c>
      <c r="N9" s="392">
        <v>4.2</v>
      </c>
    </row>
    <row r="10" spans="1:14" ht="15">
      <c r="A10" s="393">
        <v>1972</v>
      </c>
      <c r="B10" s="392">
        <v>4.4</v>
      </c>
      <c r="C10" s="392">
        <v>4.4</v>
      </c>
      <c r="D10" s="392">
        <v>4.4</v>
      </c>
      <c r="E10" s="392">
        <v>4.4</v>
      </c>
      <c r="F10" s="392">
        <v>4.4</v>
      </c>
      <c r="G10" s="392">
        <v>4.4</v>
      </c>
      <c r="H10" s="392">
        <v>4.5</v>
      </c>
      <c r="I10" s="392">
        <v>4.5</v>
      </c>
      <c r="J10" s="392">
        <v>4.5</v>
      </c>
      <c r="K10" s="392">
        <v>4.6</v>
      </c>
      <c r="L10" s="392">
        <v>4.6</v>
      </c>
      <c r="M10" s="392">
        <v>4.6</v>
      </c>
      <c r="N10" s="392">
        <v>4.5</v>
      </c>
    </row>
    <row r="11" spans="1:14" ht="15">
      <c r="A11" s="393">
        <v>1973</v>
      </c>
      <c r="B11" s="392">
        <v>5</v>
      </c>
      <c r="C11" s="392">
        <v>5.2</v>
      </c>
      <c r="D11" s="392">
        <v>5.2</v>
      </c>
      <c r="E11" s="392">
        <v>5.3</v>
      </c>
      <c r="F11" s="392">
        <v>5.3</v>
      </c>
      <c r="G11" s="392">
        <v>5.4</v>
      </c>
      <c r="H11" s="392">
        <v>5.5</v>
      </c>
      <c r="I11" s="392">
        <v>5.6</v>
      </c>
      <c r="J11" s="392">
        <v>5.6</v>
      </c>
      <c r="K11" s="392">
        <v>5.7</v>
      </c>
      <c r="L11" s="392">
        <v>5.8</v>
      </c>
      <c r="M11" s="392">
        <v>5.9</v>
      </c>
      <c r="N11" s="392">
        <v>5.5</v>
      </c>
    </row>
    <row r="12" spans="1:14" ht="15">
      <c r="A12" s="393">
        <v>1974</v>
      </c>
      <c r="B12" s="392">
        <v>6.1</v>
      </c>
      <c r="C12" s="392">
        <v>6.3</v>
      </c>
      <c r="D12" s="392">
        <v>6.4</v>
      </c>
      <c r="E12" s="392">
        <v>6.5</v>
      </c>
      <c r="F12" s="392">
        <v>6.7</v>
      </c>
      <c r="G12" s="392">
        <v>7</v>
      </c>
      <c r="H12" s="392">
        <v>7.2</v>
      </c>
      <c r="I12" s="392">
        <v>7.4</v>
      </c>
      <c r="J12" s="392">
        <v>7.4</v>
      </c>
      <c r="K12" s="392">
        <v>7.4</v>
      </c>
      <c r="L12" s="392">
        <v>7.7</v>
      </c>
      <c r="M12" s="392">
        <v>7.7</v>
      </c>
      <c r="N12" s="392">
        <v>7</v>
      </c>
    </row>
    <row r="13" spans="1:14" ht="15">
      <c r="A13" s="393">
        <v>1975</v>
      </c>
      <c r="B13" s="392">
        <v>7.7</v>
      </c>
      <c r="C13" s="392">
        <v>8.1</v>
      </c>
      <c r="D13" s="392">
        <v>8.2</v>
      </c>
      <c r="E13" s="392">
        <v>8.2</v>
      </c>
      <c r="F13" s="392">
        <v>8.3</v>
      </c>
      <c r="G13" s="392">
        <v>8.2</v>
      </c>
      <c r="H13" s="392">
        <v>8.3</v>
      </c>
      <c r="I13" s="392">
        <v>8.4</v>
      </c>
      <c r="J13" s="392">
        <v>8.4</v>
      </c>
      <c r="K13" s="392">
        <v>8.4</v>
      </c>
      <c r="L13" s="392">
        <v>8.5</v>
      </c>
      <c r="M13" s="392">
        <v>8.5</v>
      </c>
      <c r="N13" s="392">
        <v>8.3</v>
      </c>
    </row>
    <row r="14" spans="1:14" ht="15">
      <c r="A14" s="393">
        <v>1976</v>
      </c>
      <c r="B14" s="392">
        <v>8.6</v>
      </c>
      <c r="C14" s="392">
        <v>8.8</v>
      </c>
      <c r="D14" s="392">
        <v>8.8</v>
      </c>
      <c r="E14" s="392">
        <v>9.5</v>
      </c>
      <c r="F14" s="392">
        <v>9.8</v>
      </c>
      <c r="G14" s="392">
        <v>9.8</v>
      </c>
      <c r="H14" s="392">
        <v>10.2</v>
      </c>
      <c r="I14" s="392">
        <v>10.4</v>
      </c>
      <c r="J14" s="392">
        <v>10.4</v>
      </c>
      <c r="K14" s="392">
        <v>10.5</v>
      </c>
      <c r="L14" s="392">
        <v>10.8</v>
      </c>
      <c r="M14" s="392">
        <v>10.8</v>
      </c>
      <c r="N14" s="392">
        <v>9.9</v>
      </c>
    </row>
    <row r="15" spans="1:14" ht="15">
      <c r="A15" s="393">
        <v>1977</v>
      </c>
      <c r="B15" s="392">
        <v>10.9</v>
      </c>
      <c r="C15" s="392">
        <v>11.3</v>
      </c>
      <c r="D15" s="392">
        <v>11.4</v>
      </c>
      <c r="E15" s="392">
        <v>11.6</v>
      </c>
      <c r="F15" s="392">
        <v>11.8</v>
      </c>
      <c r="G15" s="392">
        <v>11.9</v>
      </c>
      <c r="H15" s="392">
        <v>11.9</v>
      </c>
      <c r="I15" s="392">
        <v>12.2</v>
      </c>
      <c r="J15" s="392">
        <v>12.3</v>
      </c>
      <c r="K15" s="392">
        <v>12.3</v>
      </c>
      <c r="L15" s="392">
        <v>12.4</v>
      </c>
      <c r="M15" s="392">
        <v>12.4</v>
      </c>
      <c r="N15" s="392">
        <v>11.8</v>
      </c>
    </row>
    <row r="16" spans="1:14" ht="15">
      <c r="A16" s="393">
        <v>1978</v>
      </c>
      <c r="B16" s="392">
        <v>12.6</v>
      </c>
      <c r="C16" s="392">
        <v>12.8</v>
      </c>
      <c r="D16" s="392">
        <v>12.8</v>
      </c>
      <c r="E16" s="392">
        <v>12.9</v>
      </c>
      <c r="F16" s="392">
        <v>13.3</v>
      </c>
      <c r="G16" s="392">
        <v>13.3</v>
      </c>
      <c r="H16" s="392">
        <v>13.3</v>
      </c>
      <c r="I16" s="392">
        <v>13.8</v>
      </c>
      <c r="J16" s="392">
        <v>13.9</v>
      </c>
      <c r="K16" s="392">
        <v>14.1</v>
      </c>
      <c r="L16" s="392">
        <v>14.4</v>
      </c>
      <c r="M16" s="392">
        <v>14.5</v>
      </c>
      <c r="N16" s="392">
        <v>13.4</v>
      </c>
    </row>
    <row r="17" spans="1:14" ht="15">
      <c r="A17" s="393">
        <v>1979</v>
      </c>
      <c r="B17" s="392">
        <v>14.5</v>
      </c>
      <c r="C17" s="392">
        <v>14.8</v>
      </c>
      <c r="D17" s="392">
        <v>14.9</v>
      </c>
      <c r="E17" s="392">
        <v>15.2</v>
      </c>
      <c r="F17" s="392">
        <v>15.6</v>
      </c>
      <c r="G17" s="392">
        <v>15.7</v>
      </c>
      <c r="H17" s="392">
        <v>15.9</v>
      </c>
      <c r="I17" s="392">
        <v>16.7</v>
      </c>
      <c r="J17" s="392">
        <v>16.9</v>
      </c>
      <c r="K17" s="392">
        <v>17.2</v>
      </c>
      <c r="L17" s="392">
        <v>17.7</v>
      </c>
      <c r="M17" s="392">
        <v>18</v>
      </c>
      <c r="N17" s="392">
        <v>16.1</v>
      </c>
    </row>
    <row r="18" spans="1:14" ht="15">
      <c r="A18" s="393">
        <v>1980</v>
      </c>
      <c r="B18" s="392">
        <v>18.1</v>
      </c>
      <c r="C18" s="392">
        <v>18.7</v>
      </c>
      <c r="D18" s="392">
        <v>19</v>
      </c>
      <c r="E18" s="392">
        <v>19.2</v>
      </c>
      <c r="F18" s="392">
        <v>19.7</v>
      </c>
      <c r="G18" s="392">
        <v>20.1</v>
      </c>
      <c r="H18" s="392">
        <v>20.1</v>
      </c>
      <c r="I18" s="392">
        <v>20.6</v>
      </c>
      <c r="J18" s="392">
        <v>20.9</v>
      </c>
      <c r="K18" s="392">
        <v>21</v>
      </c>
      <c r="L18" s="392">
        <v>21.6</v>
      </c>
      <c r="M18" s="392">
        <v>22.2</v>
      </c>
      <c r="N18" s="392">
        <v>20.1</v>
      </c>
    </row>
    <row r="19" spans="1:14" ht="15">
      <c r="A19" s="393">
        <v>1981</v>
      </c>
      <c r="B19" s="392">
        <v>22.7</v>
      </c>
      <c r="C19" s="392">
        <v>23.2</v>
      </c>
      <c r="D19" s="392">
        <v>23.5</v>
      </c>
      <c r="E19" s="392">
        <v>23.8</v>
      </c>
      <c r="F19" s="392">
        <v>24.5</v>
      </c>
      <c r="G19" s="392">
        <v>24.8</v>
      </c>
      <c r="H19" s="392">
        <v>24.9</v>
      </c>
      <c r="I19" s="392">
        <v>25.3</v>
      </c>
      <c r="J19" s="392">
        <v>25.6</v>
      </c>
      <c r="K19" s="392">
        <v>25.8</v>
      </c>
      <c r="L19" s="392">
        <v>26.7</v>
      </c>
      <c r="M19" s="392">
        <v>26.9</v>
      </c>
      <c r="N19" s="392">
        <v>24.8</v>
      </c>
    </row>
    <row r="20" spans="1:14" ht="15">
      <c r="A20" s="393">
        <v>1982</v>
      </c>
      <c r="B20" s="392">
        <v>27.2</v>
      </c>
      <c r="C20" s="392">
        <v>27.8</v>
      </c>
      <c r="D20" s="392">
        <v>27.9</v>
      </c>
      <c r="E20" s="392">
        <v>28</v>
      </c>
      <c r="F20" s="392">
        <v>28.7</v>
      </c>
      <c r="G20" s="392">
        <v>28.8</v>
      </c>
      <c r="H20" s="392">
        <v>29.1</v>
      </c>
      <c r="I20" s="392">
        <v>29.9</v>
      </c>
      <c r="J20" s="392">
        <v>30.1</v>
      </c>
      <c r="K20" s="392">
        <v>30.3</v>
      </c>
      <c r="L20" s="392">
        <v>30.8</v>
      </c>
      <c r="M20" s="392">
        <v>31.1</v>
      </c>
      <c r="N20" s="392">
        <v>29.1</v>
      </c>
    </row>
    <row r="21" spans="1:14" ht="15">
      <c r="A21" s="393">
        <v>1983</v>
      </c>
      <c r="B21" s="392">
        <v>31.4</v>
      </c>
      <c r="C21" s="392">
        <v>32</v>
      </c>
      <c r="D21" s="392">
        <v>32</v>
      </c>
      <c r="E21" s="392">
        <v>32.1</v>
      </c>
      <c r="F21" s="392">
        <v>32.6</v>
      </c>
      <c r="G21" s="392">
        <v>32.6</v>
      </c>
      <c r="H21" s="392">
        <v>33.6</v>
      </c>
      <c r="I21" s="392">
        <v>33.8</v>
      </c>
      <c r="J21" s="392">
        <v>34</v>
      </c>
      <c r="K21" s="392">
        <v>34.2</v>
      </c>
      <c r="L21" s="392">
        <v>34.6</v>
      </c>
      <c r="M21" s="392">
        <v>34.7</v>
      </c>
      <c r="N21" s="392">
        <v>33.2</v>
      </c>
    </row>
    <row r="22" spans="1:14" ht="15">
      <c r="A22" s="393">
        <v>1984</v>
      </c>
      <c r="B22" s="392">
        <v>35</v>
      </c>
      <c r="C22" s="392">
        <v>35.4</v>
      </c>
      <c r="D22" s="392">
        <v>35.5</v>
      </c>
      <c r="E22" s="392">
        <v>35.6</v>
      </c>
      <c r="F22" s="392">
        <v>35.9</v>
      </c>
      <c r="G22" s="392">
        <v>36</v>
      </c>
      <c r="H22" s="392">
        <v>36.2</v>
      </c>
      <c r="I22" s="392">
        <v>36.4</v>
      </c>
      <c r="J22" s="392">
        <v>36.5</v>
      </c>
      <c r="K22" s="392">
        <v>36.6</v>
      </c>
      <c r="L22" s="392">
        <v>36.9</v>
      </c>
      <c r="M22" s="392">
        <v>37</v>
      </c>
      <c r="N22" s="392">
        <v>36.1</v>
      </c>
    </row>
    <row r="23" spans="1:14" ht="15">
      <c r="A23" s="393">
        <v>1985</v>
      </c>
      <c r="B23" s="392">
        <v>37.9</v>
      </c>
      <c r="C23" s="392">
        <v>38.2</v>
      </c>
      <c r="D23" s="392">
        <v>38.5</v>
      </c>
      <c r="E23" s="392">
        <v>38.5</v>
      </c>
      <c r="F23" s="392">
        <v>39</v>
      </c>
      <c r="G23" s="392">
        <v>39.2</v>
      </c>
      <c r="H23" s="392">
        <v>39.2</v>
      </c>
      <c r="I23" s="392">
        <v>39.7</v>
      </c>
      <c r="J23" s="392">
        <v>39.8</v>
      </c>
      <c r="K23" s="392">
        <v>39.9</v>
      </c>
      <c r="L23" s="392">
        <v>40</v>
      </c>
      <c r="M23" s="392">
        <v>40</v>
      </c>
      <c r="N23" s="392">
        <v>39.2</v>
      </c>
    </row>
    <row r="24" spans="1:14" ht="15">
      <c r="A24" s="393">
        <v>1986</v>
      </c>
      <c r="B24" s="392">
        <v>40.1</v>
      </c>
      <c r="C24" s="392">
        <v>40.1</v>
      </c>
      <c r="D24" s="392">
        <v>40.2</v>
      </c>
      <c r="E24" s="392">
        <v>40.3</v>
      </c>
      <c r="F24" s="392">
        <v>40.6</v>
      </c>
      <c r="G24" s="392">
        <v>40.6</v>
      </c>
      <c r="H24" s="392">
        <v>40.6</v>
      </c>
      <c r="I24" s="392">
        <v>40.6</v>
      </c>
      <c r="J24" s="392">
        <v>40.8</v>
      </c>
      <c r="K24" s="392">
        <v>41</v>
      </c>
      <c r="L24" s="392">
        <v>41.4</v>
      </c>
      <c r="M24" s="392">
        <v>41.4</v>
      </c>
      <c r="N24" s="392">
        <v>40.6</v>
      </c>
    </row>
    <row r="25" spans="1:14" ht="15">
      <c r="A25" s="393">
        <v>1987</v>
      </c>
      <c r="B25" s="392">
        <v>41.4</v>
      </c>
      <c r="C25" s="392">
        <v>41.6</v>
      </c>
      <c r="D25" s="392">
        <v>41.6</v>
      </c>
      <c r="E25" s="392">
        <v>41.7</v>
      </c>
      <c r="F25" s="392">
        <v>42</v>
      </c>
      <c r="G25" s="392">
        <v>42.1</v>
      </c>
      <c r="H25" s="392">
        <v>42.1</v>
      </c>
      <c r="I25" s="392">
        <v>42.2</v>
      </c>
      <c r="J25" s="392">
        <v>42.3</v>
      </c>
      <c r="K25" s="392">
        <v>43.4</v>
      </c>
      <c r="L25" s="392">
        <v>43.9</v>
      </c>
      <c r="M25" s="392">
        <v>44</v>
      </c>
      <c r="N25" s="392">
        <v>42.4</v>
      </c>
    </row>
    <row r="26" spans="1:14" ht="15">
      <c r="A26" s="393">
        <v>1988</v>
      </c>
      <c r="B26" s="392">
        <v>44.1</v>
      </c>
      <c r="C26" s="392">
        <v>44.2</v>
      </c>
      <c r="D26" s="392">
        <v>44.3</v>
      </c>
      <c r="E26" s="392">
        <v>44.4</v>
      </c>
      <c r="F26" s="392">
        <v>44.8</v>
      </c>
      <c r="G26" s="392">
        <v>45</v>
      </c>
      <c r="H26" s="392">
        <v>45.2</v>
      </c>
      <c r="I26" s="392">
        <v>45.3</v>
      </c>
      <c r="J26" s="392">
        <v>45.6</v>
      </c>
      <c r="K26" s="392">
        <v>45.8</v>
      </c>
      <c r="L26" s="392">
        <v>46.2</v>
      </c>
      <c r="M26" s="392">
        <v>46.3</v>
      </c>
      <c r="N26" s="392">
        <v>45.1</v>
      </c>
    </row>
    <row r="27" spans="1:14" ht="15">
      <c r="A27" s="393">
        <v>1989</v>
      </c>
      <c r="B27" s="392">
        <v>46.4</v>
      </c>
      <c r="C27" s="392">
        <v>46.6</v>
      </c>
      <c r="D27" s="392">
        <v>46.7</v>
      </c>
      <c r="E27" s="392">
        <v>46.8</v>
      </c>
      <c r="F27" s="392">
        <v>47.3</v>
      </c>
      <c r="G27" s="392">
        <v>47.3</v>
      </c>
      <c r="H27" s="392">
        <v>47.7</v>
      </c>
      <c r="I27" s="392">
        <v>47.9</v>
      </c>
      <c r="J27" s="392">
        <v>48.1</v>
      </c>
      <c r="K27" s="392">
        <v>48.4</v>
      </c>
      <c r="L27" s="392">
        <v>49.2</v>
      </c>
      <c r="M27" s="392">
        <v>49.6</v>
      </c>
      <c r="N27" s="392">
        <v>47.7</v>
      </c>
    </row>
    <row r="28" spans="1:14" ht="15">
      <c r="A28" s="393">
        <v>1990</v>
      </c>
      <c r="B28" s="392">
        <v>50.8</v>
      </c>
      <c r="C28" s="392">
        <v>51.2</v>
      </c>
      <c r="D28" s="392">
        <v>51.6</v>
      </c>
      <c r="E28" s="392">
        <v>51.8</v>
      </c>
      <c r="F28" s="392">
        <v>52.4</v>
      </c>
      <c r="G28" s="392">
        <v>52.6</v>
      </c>
      <c r="H28" s="392">
        <v>53.1</v>
      </c>
      <c r="I28" s="392">
        <v>53.3</v>
      </c>
      <c r="J28" s="392">
        <v>53.4</v>
      </c>
      <c r="K28" s="392">
        <v>53.6</v>
      </c>
      <c r="L28" s="392">
        <v>54.3</v>
      </c>
      <c r="M28" s="392">
        <v>54.4</v>
      </c>
      <c r="N28" s="392">
        <v>52.7</v>
      </c>
    </row>
    <row r="29" spans="1:14" ht="15">
      <c r="A29" s="393">
        <v>1991</v>
      </c>
      <c r="B29" s="392">
        <v>54.5</v>
      </c>
      <c r="C29" s="392">
        <v>54.8</v>
      </c>
      <c r="D29" s="392">
        <v>54.8</v>
      </c>
      <c r="E29" s="392">
        <v>55</v>
      </c>
      <c r="F29" s="392">
        <v>55.7</v>
      </c>
      <c r="G29" s="392">
        <v>58.1</v>
      </c>
      <c r="H29" s="392">
        <v>58.3</v>
      </c>
      <c r="I29" s="392">
        <v>58.3</v>
      </c>
      <c r="J29" s="392">
        <v>58.3</v>
      </c>
      <c r="K29" s="392">
        <v>58.4</v>
      </c>
      <c r="L29" s="392">
        <v>59</v>
      </c>
      <c r="M29" s="392">
        <v>59</v>
      </c>
      <c r="N29" s="392">
        <v>57</v>
      </c>
    </row>
    <row r="30" spans="1:14" ht="15">
      <c r="A30" s="393">
        <v>1992</v>
      </c>
      <c r="B30" s="392">
        <v>59.2</v>
      </c>
      <c r="C30" s="392">
        <v>59.4</v>
      </c>
      <c r="D30" s="392">
        <v>59.7</v>
      </c>
      <c r="E30" s="392">
        <v>59.7</v>
      </c>
      <c r="F30" s="392">
        <v>59.9</v>
      </c>
      <c r="G30" s="392">
        <v>60</v>
      </c>
      <c r="H30" s="392">
        <v>60</v>
      </c>
      <c r="I30" s="392">
        <v>60</v>
      </c>
      <c r="J30" s="392">
        <v>60.1</v>
      </c>
      <c r="K30" s="392">
        <v>60.2</v>
      </c>
      <c r="L30" s="392">
        <v>60.2</v>
      </c>
      <c r="M30" s="392">
        <v>60.3</v>
      </c>
      <c r="N30" s="392">
        <v>59.9</v>
      </c>
    </row>
    <row r="31" spans="1:14" ht="15">
      <c r="A31" s="393">
        <v>1993</v>
      </c>
      <c r="B31" s="392">
        <v>61</v>
      </c>
      <c r="C31" s="392">
        <v>61.1</v>
      </c>
      <c r="D31" s="392">
        <v>61.2</v>
      </c>
      <c r="E31" s="392">
        <v>61.4</v>
      </c>
      <c r="F31" s="392">
        <v>61.5</v>
      </c>
      <c r="G31" s="392">
        <v>61.6</v>
      </c>
      <c r="H31" s="392">
        <v>61.7</v>
      </c>
      <c r="I31" s="392">
        <v>61.7</v>
      </c>
      <c r="J31" s="392">
        <v>61.7</v>
      </c>
      <c r="K31" s="392">
        <v>61.8</v>
      </c>
      <c r="L31" s="392">
        <v>61.8</v>
      </c>
      <c r="M31" s="392">
        <v>61.8</v>
      </c>
      <c r="N31" s="392">
        <v>61.6</v>
      </c>
    </row>
    <row r="32" spans="1:14" ht="15">
      <c r="A32" s="393">
        <v>1994</v>
      </c>
      <c r="B32" s="392">
        <v>63.3</v>
      </c>
      <c r="C32" s="392">
        <v>63.3</v>
      </c>
      <c r="D32" s="392">
        <v>63.5</v>
      </c>
      <c r="E32" s="392">
        <v>63.7</v>
      </c>
      <c r="F32" s="392">
        <v>63.7</v>
      </c>
      <c r="G32" s="392">
        <v>63.7</v>
      </c>
      <c r="H32" s="392">
        <v>63.8</v>
      </c>
      <c r="I32" s="392">
        <v>63.9</v>
      </c>
      <c r="J32" s="392">
        <v>63.9</v>
      </c>
      <c r="K32" s="392">
        <v>64</v>
      </c>
      <c r="L32" s="392">
        <v>63.4</v>
      </c>
      <c r="M32" s="392">
        <v>63.6</v>
      </c>
      <c r="N32" s="392">
        <v>63.6</v>
      </c>
    </row>
    <row r="33" spans="1:14" ht="15">
      <c r="A33" s="393">
        <v>1995</v>
      </c>
      <c r="B33" s="392">
        <v>63.9</v>
      </c>
      <c r="C33" s="392">
        <v>64.1</v>
      </c>
      <c r="D33" s="392">
        <v>64.5</v>
      </c>
      <c r="E33" s="392">
        <v>64.7</v>
      </c>
      <c r="F33" s="392">
        <v>65</v>
      </c>
      <c r="G33" s="392">
        <v>65.3</v>
      </c>
      <c r="H33" s="392">
        <v>65.2</v>
      </c>
      <c r="I33" s="392">
        <v>65.3</v>
      </c>
      <c r="J33" s="392">
        <v>65.3</v>
      </c>
      <c r="K33" s="392">
        <v>65.3</v>
      </c>
      <c r="L33" s="392">
        <v>65.3</v>
      </c>
      <c r="M33" s="392">
        <v>65.3</v>
      </c>
      <c r="N33" s="392">
        <v>64.9</v>
      </c>
    </row>
    <row r="34" spans="1:14" ht="15">
      <c r="A34" s="393">
        <v>1996</v>
      </c>
      <c r="B34" s="392">
        <v>65.3</v>
      </c>
      <c r="C34" s="392">
        <v>65.3</v>
      </c>
      <c r="D34" s="392">
        <v>65.3</v>
      </c>
      <c r="E34" s="392">
        <v>65.3</v>
      </c>
      <c r="F34" s="392">
        <v>65.4</v>
      </c>
      <c r="G34" s="392">
        <v>65.6</v>
      </c>
      <c r="H34" s="392">
        <v>66.5</v>
      </c>
      <c r="I34" s="392">
        <v>66.5</v>
      </c>
      <c r="J34" s="392">
        <v>66.7</v>
      </c>
      <c r="K34" s="392">
        <v>66.8</v>
      </c>
      <c r="L34" s="392">
        <v>66.8</v>
      </c>
      <c r="M34" s="392">
        <v>67.2</v>
      </c>
      <c r="N34" s="392">
        <v>66.1</v>
      </c>
    </row>
    <row r="35" spans="1:14" ht="15">
      <c r="A35" s="393">
        <v>1997</v>
      </c>
      <c r="B35" s="392">
        <v>67.2</v>
      </c>
      <c r="C35" s="392">
        <v>66.9</v>
      </c>
      <c r="D35" s="392">
        <v>67.2</v>
      </c>
      <c r="E35" s="392">
        <v>67.2</v>
      </c>
      <c r="F35" s="392">
        <v>67.2</v>
      </c>
      <c r="G35" s="392">
        <v>67.3</v>
      </c>
      <c r="H35" s="392">
        <v>68.1</v>
      </c>
      <c r="I35" s="392">
        <v>68.2</v>
      </c>
      <c r="J35" s="392">
        <v>68.3</v>
      </c>
      <c r="K35" s="392">
        <v>68.3</v>
      </c>
      <c r="L35" s="392">
        <v>68.4</v>
      </c>
      <c r="M35" s="392">
        <v>68.3</v>
      </c>
      <c r="N35" s="392">
        <v>67.8</v>
      </c>
    </row>
    <row r="36" spans="1:14" ht="15">
      <c r="A36" s="393">
        <v>1998</v>
      </c>
      <c r="B36" s="392">
        <v>66.2</v>
      </c>
      <c r="C36" s="392">
        <v>66.3</v>
      </c>
      <c r="D36" s="392">
        <v>66.5</v>
      </c>
      <c r="E36" s="392">
        <v>66.5</v>
      </c>
      <c r="F36" s="392">
        <v>66.5</v>
      </c>
      <c r="G36" s="392">
        <v>66.7</v>
      </c>
      <c r="H36" s="392">
        <v>66.8</v>
      </c>
      <c r="I36" s="392">
        <v>67.2</v>
      </c>
      <c r="J36" s="392">
        <v>67.2</v>
      </c>
      <c r="K36" s="392">
        <v>67.3</v>
      </c>
      <c r="L36" s="392">
        <v>67.4</v>
      </c>
      <c r="M36" s="392">
        <v>67.3</v>
      </c>
      <c r="N36" s="392">
        <v>66.8</v>
      </c>
    </row>
    <row r="37" spans="1:14" ht="15">
      <c r="A37" s="393">
        <v>1999</v>
      </c>
      <c r="B37" s="392">
        <v>67.3</v>
      </c>
      <c r="C37" s="392">
        <v>67.4</v>
      </c>
      <c r="D37" s="392">
        <v>67.5</v>
      </c>
      <c r="E37" s="392">
        <v>67.8</v>
      </c>
      <c r="F37" s="392">
        <v>67.9</v>
      </c>
      <c r="G37" s="392">
        <v>68</v>
      </c>
      <c r="H37" s="392">
        <v>68</v>
      </c>
      <c r="I37" s="392">
        <v>68.1</v>
      </c>
      <c r="J37" s="392">
        <v>68.2</v>
      </c>
      <c r="K37" s="392">
        <v>68.3</v>
      </c>
      <c r="L37" s="392">
        <v>68.4</v>
      </c>
      <c r="M37" s="392">
        <v>68.6</v>
      </c>
      <c r="N37" s="392">
        <v>68</v>
      </c>
    </row>
    <row r="38" spans="1:14" ht="15">
      <c r="A38" s="393">
        <v>2000</v>
      </c>
      <c r="B38" s="392">
        <v>69.3</v>
      </c>
      <c r="C38" s="392">
        <v>69.4</v>
      </c>
      <c r="D38" s="392">
        <v>69.5</v>
      </c>
      <c r="E38" s="392">
        <v>69.5</v>
      </c>
      <c r="F38" s="392">
        <v>69.6</v>
      </c>
      <c r="G38" s="392">
        <v>69.9</v>
      </c>
      <c r="H38" s="392">
        <v>70</v>
      </c>
      <c r="I38" s="392">
        <v>70.2</v>
      </c>
      <c r="J38" s="392">
        <v>70.3</v>
      </c>
      <c r="K38" s="392">
        <v>70.4</v>
      </c>
      <c r="L38" s="392">
        <v>70.6</v>
      </c>
      <c r="M38" s="392">
        <v>70.8</v>
      </c>
      <c r="N38" s="392">
        <v>69.9</v>
      </c>
    </row>
    <row r="39" spans="1:14" ht="15">
      <c r="A39" s="393">
        <v>2001</v>
      </c>
      <c r="B39" s="392">
        <v>71.1</v>
      </c>
      <c r="C39" s="392">
        <v>71.1</v>
      </c>
      <c r="D39" s="392">
        <v>71.1</v>
      </c>
      <c r="E39" s="392">
        <v>71.1</v>
      </c>
      <c r="F39" s="392">
        <v>71.2</v>
      </c>
      <c r="G39" s="392">
        <v>71.4</v>
      </c>
      <c r="H39" s="392">
        <v>71.7</v>
      </c>
      <c r="I39" s="392">
        <v>71.7</v>
      </c>
      <c r="J39" s="392">
        <v>71.7</v>
      </c>
      <c r="K39" s="392">
        <v>71.8</v>
      </c>
      <c r="L39" s="392">
        <v>72</v>
      </c>
      <c r="M39" s="392">
        <v>72</v>
      </c>
      <c r="N39" s="392">
        <v>71.5</v>
      </c>
    </row>
    <row r="40" spans="1:14" ht="15">
      <c r="A40" s="393">
        <v>2002</v>
      </c>
      <c r="B40" s="392">
        <v>73.9</v>
      </c>
      <c r="C40" s="392">
        <v>73.9</v>
      </c>
      <c r="D40" s="392">
        <v>74</v>
      </c>
      <c r="E40" s="392">
        <v>74</v>
      </c>
      <c r="F40" s="392">
        <v>74.2</v>
      </c>
      <c r="G40" s="392">
        <v>74.2</v>
      </c>
      <c r="H40" s="392">
        <v>74.4</v>
      </c>
      <c r="I40" s="392">
        <v>74.5</v>
      </c>
      <c r="J40" s="392">
        <v>74.7</v>
      </c>
      <c r="K40" s="392">
        <v>74.7</v>
      </c>
      <c r="L40" s="392">
        <v>74.7</v>
      </c>
      <c r="M40" s="392">
        <v>74.7</v>
      </c>
      <c r="N40" s="392">
        <v>74.3</v>
      </c>
    </row>
    <row r="41" spans="1:14" ht="15">
      <c r="A41" s="393">
        <v>2003</v>
      </c>
      <c r="B41" s="392">
        <v>76</v>
      </c>
      <c r="C41" s="392">
        <v>76.3</v>
      </c>
      <c r="D41" s="392">
        <v>76.4</v>
      </c>
      <c r="E41" s="392">
        <v>76.5</v>
      </c>
      <c r="F41" s="392">
        <v>76.5</v>
      </c>
      <c r="G41" s="392">
        <v>76.5</v>
      </c>
      <c r="H41" s="392">
        <v>76.7</v>
      </c>
      <c r="I41" s="392">
        <v>76.7</v>
      </c>
      <c r="J41" s="392">
        <v>76.7</v>
      </c>
      <c r="K41" s="392">
        <v>76.7</v>
      </c>
      <c r="L41" s="392">
        <v>76.8</v>
      </c>
      <c r="M41" s="392">
        <v>76.8</v>
      </c>
      <c r="N41" s="392">
        <v>76.6</v>
      </c>
    </row>
    <row r="42" spans="1:14" ht="15">
      <c r="A42" s="393">
        <v>2004</v>
      </c>
      <c r="B42" s="392">
        <v>77.6</v>
      </c>
      <c r="C42" s="392">
        <v>78.3</v>
      </c>
      <c r="D42" s="392">
        <v>78.5</v>
      </c>
      <c r="E42" s="392">
        <v>78.8</v>
      </c>
      <c r="F42" s="392">
        <v>79.8</v>
      </c>
      <c r="G42" s="392">
        <v>79.9</v>
      </c>
      <c r="H42" s="392">
        <v>80.4</v>
      </c>
      <c r="I42" s="392">
        <v>80.5</v>
      </c>
      <c r="J42" s="392">
        <v>80.6</v>
      </c>
      <c r="K42" s="392">
        <v>80.8</v>
      </c>
      <c r="L42" s="392">
        <v>80.9</v>
      </c>
      <c r="M42" s="392">
        <v>81</v>
      </c>
      <c r="N42" s="392">
        <v>79.8</v>
      </c>
    </row>
    <row r="43" spans="1:14" ht="15">
      <c r="A43" s="393">
        <v>2005</v>
      </c>
      <c r="B43" s="392">
        <v>81.6</v>
      </c>
      <c r="C43" s="392">
        <v>81.9</v>
      </c>
      <c r="D43" s="392">
        <v>83</v>
      </c>
      <c r="E43" s="392">
        <v>83</v>
      </c>
      <c r="F43" s="392">
        <v>82.8</v>
      </c>
      <c r="G43" s="392">
        <v>82.9</v>
      </c>
      <c r="H43" s="392">
        <v>83.2</v>
      </c>
      <c r="I43" s="392">
        <v>83.4</v>
      </c>
      <c r="J43" s="392">
        <v>83.5</v>
      </c>
      <c r="K43" s="392">
        <v>83.4</v>
      </c>
      <c r="L43" s="392">
        <v>83.5</v>
      </c>
      <c r="M43" s="392">
        <v>83.3</v>
      </c>
      <c r="N43" s="392">
        <v>82.9</v>
      </c>
    </row>
    <row r="44" spans="1:14" ht="15">
      <c r="A44" s="393">
        <v>2006</v>
      </c>
      <c r="B44" s="392">
        <v>83.6</v>
      </c>
      <c r="C44" s="392">
        <v>83.8</v>
      </c>
      <c r="D44" s="392">
        <v>85.2</v>
      </c>
      <c r="E44" s="392">
        <v>85.2</v>
      </c>
      <c r="F44" s="392">
        <v>85.3</v>
      </c>
      <c r="G44" s="392">
        <v>85.3</v>
      </c>
      <c r="H44" s="392">
        <v>85.5</v>
      </c>
      <c r="I44" s="392">
        <v>85.7</v>
      </c>
      <c r="J44" s="392">
        <v>85.7</v>
      </c>
      <c r="K44" s="392">
        <v>85.7</v>
      </c>
      <c r="L44" s="392">
        <v>85.9</v>
      </c>
      <c r="M44" s="392">
        <v>85.9</v>
      </c>
      <c r="N44" s="392">
        <v>85.2</v>
      </c>
    </row>
    <row r="45" spans="1:14" ht="15">
      <c r="A45" s="393">
        <v>2007</v>
      </c>
      <c r="B45" s="392">
        <v>87.4</v>
      </c>
      <c r="C45" s="392">
        <v>87.9</v>
      </c>
      <c r="D45" s="392">
        <v>88</v>
      </c>
      <c r="E45" s="392">
        <v>88.4</v>
      </c>
      <c r="F45" s="392">
        <v>88.6</v>
      </c>
      <c r="G45" s="392">
        <v>88.5</v>
      </c>
      <c r="H45" s="392">
        <v>88.5</v>
      </c>
      <c r="I45" s="392">
        <v>88.6</v>
      </c>
      <c r="J45" s="392">
        <v>88.7</v>
      </c>
      <c r="K45" s="392">
        <v>88.5</v>
      </c>
      <c r="L45" s="392">
        <v>88.6</v>
      </c>
      <c r="M45" s="392">
        <v>88.7</v>
      </c>
      <c r="N45" s="392">
        <v>88.3</v>
      </c>
    </row>
    <row r="46" spans="1:14" ht="15">
      <c r="A46" s="393">
        <v>2008</v>
      </c>
      <c r="B46" s="392">
        <v>89.4</v>
      </c>
      <c r="C46" s="392">
        <v>89.7</v>
      </c>
      <c r="D46" s="392">
        <v>89.8</v>
      </c>
      <c r="E46" s="392">
        <v>90.2</v>
      </c>
      <c r="F46" s="392">
        <v>90.8</v>
      </c>
      <c r="G46" s="392">
        <v>93.6</v>
      </c>
      <c r="H46" s="392">
        <v>93.5</v>
      </c>
      <c r="I46" s="392">
        <v>93.4</v>
      </c>
      <c r="J46" s="392">
        <v>93.3</v>
      </c>
      <c r="K46" s="392">
        <v>92.8</v>
      </c>
      <c r="L46" s="392">
        <v>92.2</v>
      </c>
      <c r="M46" s="392">
        <v>92.2</v>
      </c>
      <c r="N46" s="392">
        <v>91.7</v>
      </c>
    </row>
    <row r="47" spans="1:14" ht="15">
      <c r="A47" s="393">
        <v>2009</v>
      </c>
      <c r="B47" s="392">
        <v>93</v>
      </c>
      <c r="C47" s="392">
        <v>92.9</v>
      </c>
      <c r="D47" s="392">
        <v>92.7</v>
      </c>
      <c r="E47" s="392">
        <v>92.6</v>
      </c>
      <c r="F47" s="392">
        <v>92.7</v>
      </c>
      <c r="G47" s="392">
        <v>92.6</v>
      </c>
      <c r="H47" s="392">
        <v>92.4</v>
      </c>
      <c r="I47" s="392">
        <v>92.5</v>
      </c>
      <c r="J47" s="392">
        <v>92.5</v>
      </c>
      <c r="K47" s="392">
        <v>92.6</v>
      </c>
      <c r="L47" s="392">
        <v>92.5</v>
      </c>
      <c r="M47" s="392">
        <v>92.5</v>
      </c>
      <c r="N47" s="392">
        <v>92.6</v>
      </c>
    </row>
    <row r="48" spans="1:14" ht="15">
      <c r="A48" s="393">
        <v>2010</v>
      </c>
      <c r="B48" s="392">
        <v>92.6</v>
      </c>
      <c r="C48" s="392">
        <v>92.7</v>
      </c>
      <c r="D48" s="392">
        <v>93</v>
      </c>
      <c r="E48" s="392">
        <v>94.4</v>
      </c>
      <c r="F48" s="392">
        <v>94.5</v>
      </c>
      <c r="G48" s="392">
        <v>94.4</v>
      </c>
      <c r="H48" s="392">
        <v>94.4</v>
      </c>
      <c r="I48" s="392">
        <v>94.5</v>
      </c>
      <c r="J48" s="392">
        <v>94.5</v>
      </c>
      <c r="K48" s="392">
        <v>94.5</v>
      </c>
      <c r="L48" s="392">
        <v>94.4</v>
      </c>
      <c r="M48" s="392">
        <v>94.5</v>
      </c>
      <c r="N48" s="392">
        <v>94</v>
      </c>
    </row>
    <row r="49" spans="1:14" ht="15">
      <c r="A49" s="393">
        <v>2011</v>
      </c>
      <c r="B49" s="392">
        <v>96.1</v>
      </c>
      <c r="C49" s="392">
        <v>96</v>
      </c>
      <c r="D49" s="392">
        <v>96.4</v>
      </c>
      <c r="E49" s="392">
        <v>96.5</v>
      </c>
      <c r="F49" s="392">
        <v>96.7</v>
      </c>
      <c r="G49" s="392">
        <v>97.1</v>
      </c>
      <c r="H49" s="392">
        <v>97.1</v>
      </c>
      <c r="I49" s="392">
        <v>97.2</v>
      </c>
      <c r="J49" s="392">
        <v>97.3</v>
      </c>
      <c r="K49" s="392">
        <v>97.3</v>
      </c>
      <c r="L49" s="392">
        <v>97.3</v>
      </c>
      <c r="M49" s="392">
        <v>97.3</v>
      </c>
      <c r="N49" s="392">
        <v>96.8</v>
      </c>
    </row>
    <row r="50" spans="1:14" ht="15">
      <c r="A50" s="393">
        <v>2012</v>
      </c>
      <c r="B50" s="392">
        <v>98.5</v>
      </c>
      <c r="C50" s="392">
        <v>98.8</v>
      </c>
      <c r="D50" s="392">
        <v>98.9</v>
      </c>
      <c r="E50" s="392">
        <v>99.2</v>
      </c>
      <c r="F50" s="392">
        <v>99.2</v>
      </c>
      <c r="G50" s="392">
        <v>99.2</v>
      </c>
      <c r="H50" s="392">
        <v>99.1</v>
      </c>
      <c r="I50" s="392">
        <v>99</v>
      </c>
      <c r="J50" s="392">
        <v>99.2</v>
      </c>
      <c r="K50" s="392">
        <v>99.3</v>
      </c>
      <c r="L50" s="392">
        <v>99.2</v>
      </c>
      <c r="M50" s="392">
        <v>99.2</v>
      </c>
      <c r="N50" s="392">
        <v>99.1</v>
      </c>
    </row>
    <row r="51" spans="1:14" ht="15">
      <c r="A51" s="393">
        <v>2013</v>
      </c>
      <c r="B51" s="392">
        <v>99.5</v>
      </c>
      <c r="C51" s="392">
        <v>99.8</v>
      </c>
      <c r="D51" s="392">
        <v>99.6</v>
      </c>
      <c r="E51" s="392">
        <v>99.5</v>
      </c>
      <c r="F51" s="392">
        <v>99.9</v>
      </c>
      <c r="G51" s="392">
        <v>99.7</v>
      </c>
      <c r="H51" s="392">
        <v>99.7</v>
      </c>
      <c r="I51" s="392">
        <v>99.8</v>
      </c>
      <c r="J51" s="392">
        <v>99.9</v>
      </c>
      <c r="K51" s="392">
        <v>99.6</v>
      </c>
      <c r="L51" s="392">
        <v>99.6</v>
      </c>
      <c r="M51" s="392">
        <v>99.5</v>
      </c>
      <c r="N51" s="392">
        <v>99.7</v>
      </c>
    </row>
    <row r="52" spans="1:14" ht="15">
      <c r="A52" s="393">
        <v>2014</v>
      </c>
      <c r="B52" s="392">
        <v>99.3</v>
      </c>
      <c r="C52" s="392">
        <v>99.5</v>
      </c>
      <c r="D52" s="392">
        <v>99.2</v>
      </c>
      <c r="E52" s="392">
        <v>99.3</v>
      </c>
      <c r="F52" s="392">
        <v>99.2</v>
      </c>
      <c r="G52" s="392">
        <v>99.3</v>
      </c>
      <c r="H52" s="392">
        <v>99.7</v>
      </c>
      <c r="I52" s="392">
        <v>100</v>
      </c>
      <c r="J52" s="392">
        <v>99.9</v>
      </c>
      <c r="K52" s="392">
        <v>99.7</v>
      </c>
      <c r="L52" s="392">
        <v>99.7</v>
      </c>
      <c r="M52" s="392">
        <v>99.8</v>
      </c>
      <c r="N52" s="392">
        <v>99.6</v>
      </c>
    </row>
    <row r="53" spans="1:14" ht="15">
      <c r="A53" s="393">
        <v>2015</v>
      </c>
      <c r="B53" s="392">
        <v>99.8</v>
      </c>
      <c r="C53" s="392">
        <v>99.6</v>
      </c>
      <c r="D53" s="392">
        <v>99.6</v>
      </c>
      <c r="E53" s="392">
        <v>99.5</v>
      </c>
      <c r="F53" s="392">
        <v>99.6</v>
      </c>
      <c r="G53" s="392">
        <v>99.6</v>
      </c>
      <c r="H53" s="392">
        <v>100.4</v>
      </c>
      <c r="I53" s="392">
        <v>100.5</v>
      </c>
      <c r="J53" s="392">
        <v>100.5</v>
      </c>
      <c r="K53" s="392">
        <v>100.2</v>
      </c>
      <c r="L53" s="392">
        <v>100.2</v>
      </c>
      <c r="M53" s="392">
        <v>100.2</v>
      </c>
      <c r="N53" s="392">
        <v>100</v>
      </c>
    </row>
    <row r="54" spans="1:14" ht="15">
      <c r="A54" s="393">
        <v>2016</v>
      </c>
      <c r="B54" s="392">
        <v>100.2</v>
      </c>
      <c r="C54" s="392">
        <v>100.2</v>
      </c>
      <c r="D54" s="392">
        <v>100.1</v>
      </c>
      <c r="E54" s="392">
        <v>100.2</v>
      </c>
      <c r="F54" s="392">
        <v>100.3</v>
      </c>
      <c r="G54" s="392">
        <v>100.3</v>
      </c>
      <c r="H54" s="392">
        <v>100.3</v>
      </c>
      <c r="I54" s="392">
        <v>100.3</v>
      </c>
      <c r="J54" s="392">
        <v>100.4</v>
      </c>
      <c r="K54" s="392">
        <v>100.5</v>
      </c>
      <c r="L54" s="392">
        <v>100.5</v>
      </c>
      <c r="M54" s="392">
        <v>100.5</v>
      </c>
      <c r="N54" s="392">
        <v>100.3</v>
      </c>
    </row>
    <row r="55" spans="1:14" ht="15">
      <c r="A55" s="393">
        <v>2017</v>
      </c>
      <c r="B55" s="392">
        <v>100.7</v>
      </c>
      <c r="C55" s="392">
        <v>100.5</v>
      </c>
      <c r="D55" s="392">
        <v>100.7</v>
      </c>
      <c r="E55" s="392">
        <v>100.8</v>
      </c>
      <c r="F55" s="392">
        <v>100.8</v>
      </c>
      <c r="G55" s="392">
        <v>100.8</v>
      </c>
      <c r="H55" s="392">
        <v>100.8</v>
      </c>
      <c r="I55" s="392">
        <v>100.9</v>
      </c>
      <c r="J55" s="392">
        <v>101</v>
      </c>
      <c r="K55" s="392">
        <v>101.1</v>
      </c>
      <c r="L55" s="392">
        <v>101.2</v>
      </c>
      <c r="M55" s="392">
        <v>101.1</v>
      </c>
      <c r="N55" s="392">
        <v>100.8</v>
      </c>
    </row>
    <row r="56" spans="1:14" ht="15">
      <c r="A56" s="393">
        <v>2018</v>
      </c>
      <c r="B56" s="392">
        <v>101.6</v>
      </c>
      <c r="C56" s="392">
        <v>101.5</v>
      </c>
      <c r="D56" s="392">
        <v>101.5</v>
      </c>
      <c r="E56" s="392">
        <v>101.6</v>
      </c>
      <c r="F56" s="392">
        <v>101.7</v>
      </c>
      <c r="G56" s="392">
        <v>101.7</v>
      </c>
      <c r="H56" s="392">
        <v>102.6</v>
      </c>
      <c r="I56" s="392">
        <v>102.9</v>
      </c>
      <c r="J56" s="392">
        <v>102.8</v>
      </c>
      <c r="K56" s="392">
        <v>102.9</v>
      </c>
      <c r="L56" s="392">
        <v>103</v>
      </c>
      <c r="M56" s="392">
        <v>103</v>
      </c>
      <c r="N56" s="392">
        <v>102.2</v>
      </c>
    </row>
    <row r="57" spans="1:14" ht="15">
      <c r="A57" s="393">
        <v>2019</v>
      </c>
      <c r="B57" s="392">
        <v>102.9</v>
      </c>
      <c r="C57" s="392">
        <v>102.9</v>
      </c>
      <c r="D57" s="392">
        <v>102.9</v>
      </c>
      <c r="E57" s="392">
        <v>102.4</v>
      </c>
      <c r="F57" s="392">
        <v>102.5</v>
      </c>
      <c r="G57" s="392">
        <v>102.6</v>
      </c>
      <c r="H57" s="392">
        <v>102.9</v>
      </c>
      <c r="I57" s="392">
        <v>103</v>
      </c>
      <c r="J57" s="392">
        <v>103</v>
      </c>
      <c r="K57" s="392">
        <v>102.9</v>
      </c>
      <c r="L57" s="392">
        <v>102.9</v>
      </c>
      <c r="M57" s="392">
        <v>103</v>
      </c>
      <c r="N57" s="392">
        <v>102.9</v>
      </c>
    </row>
    <row r="58" spans="1:14" ht="15">
      <c r="A58" s="393">
        <v>2020</v>
      </c>
      <c r="B58" s="392">
        <v>103.1</v>
      </c>
      <c r="C58" s="392">
        <v>103</v>
      </c>
      <c r="D58" s="392">
        <v>103</v>
      </c>
      <c r="E58" s="392">
        <v>103.1</v>
      </c>
      <c r="F58" s="392">
        <v>103</v>
      </c>
      <c r="G58" s="392">
        <v>102.9</v>
      </c>
      <c r="H58" s="392">
        <v>103</v>
      </c>
      <c r="I58" s="392"/>
      <c r="J58" s="392"/>
      <c r="K58" s="392"/>
      <c r="L58" s="392"/>
      <c r="M58" s="392"/>
      <c r="N58" s="392"/>
    </row>
  </sheetData>
  <mergeCells count="2">
    <mergeCell ref="A1:N1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M72"/>
  <sheetViews>
    <sheetView zoomScale="120" zoomScaleNormal="120" zoomScalePageLayoutView="0" workbookViewId="0" topLeftCell="A1">
      <selection activeCell="A1" sqref="A1:K1"/>
    </sheetView>
  </sheetViews>
  <sheetFormatPr defaultColWidth="8.8515625" defaultRowHeight="12.75"/>
  <cols>
    <col min="1" max="1" width="6.421875" style="0" customWidth="1"/>
    <col min="2" max="2" width="15.28125" style="0" customWidth="1"/>
    <col min="3" max="3" width="12.28125" style="0" customWidth="1"/>
    <col min="4" max="4" width="3.8515625" style="118" customWidth="1"/>
    <col min="5" max="5" width="14.421875" style="0" customWidth="1"/>
    <col min="6" max="6" width="3.7109375" style="118" customWidth="1"/>
    <col min="7" max="7" width="13.00390625" style="0" customWidth="1"/>
    <col min="8" max="8" width="3.7109375" style="118" customWidth="1"/>
    <col min="9" max="9" width="8.28125" style="0" customWidth="1"/>
    <col min="10" max="10" width="3.7109375" style="118" customWidth="1"/>
    <col min="11" max="11" width="18.8515625" style="30" customWidth="1"/>
    <col min="12" max="13" width="9.140625" style="0" hidden="1" customWidth="1"/>
  </cols>
  <sheetData>
    <row r="1" spans="1:11" ht="22.5" customHeight="1">
      <c r="A1" s="504" t="str">
        <f>COSTO!B1</f>
        <v>IN VIGORE dal 01/01/2024</v>
      </c>
      <c r="B1" s="505"/>
      <c r="C1" s="505"/>
      <c r="D1" s="505"/>
      <c r="E1" s="505"/>
      <c r="F1" s="505"/>
      <c r="G1" s="505"/>
      <c r="H1" s="505"/>
      <c r="I1" s="505"/>
      <c r="J1" s="505"/>
      <c r="K1" s="506"/>
    </row>
    <row r="2" spans="1:11" ht="12.75">
      <c r="A2" s="37"/>
      <c r="B2" s="106" t="s">
        <v>91</v>
      </c>
      <c r="C2" s="107" t="s">
        <v>92</v>
      </c>
      <c r="D2" s="106"/>
      <c r="E2" s="106" t="s">
        <v>93</v>
      </c>
      <c r="F2" s="106"/>
      <c r="G2" s="106" t="s">
        <v>94</v>
      </c>
      <c r="H2" s="106"/>
      <c r="I2" s="106" t="s">
        <v>95</v>
      </c>
      <c r="J2" s="106"/>
      <c r="K2" s="135" t="s">
        <v>96</v>
      </c>
    </row>
    <row r="3" spans="1:11" ht="12.75">
      <c r="A3" s="499" t="s">
        <v>97</v>
      </c>
      <c r="B3" s="507"/>
      <c r="C3" s="508"/>
      <c r="D3" s="508"/>
      <c r="E3" s="508"/>
      <c r="F3" s="508"/>
      <c r="G3" s="508"/>
      <c r="H3" s="508"/>
      <c r="I3" s="508"/>
      <c r="J3" s="508"/>
      <c r="K3" s="508"/>
    </row>
    <row r="4" spans="1:13" ht="12.75">
      <c r="A4" s="500"/>
      <c r="B4" s="502" t="s">
        <v>98</v>
      </c>
      <c r="C4" s="213" t="s">
        <v>99</v>
      </c>
      <c r="D4" s="214" t="s">
        <v>13</v>
      </c>
      <c r="E4" s="276">
        <f>M4*1.1</f>
        <v>35.195094</v>
      </c>
      <c r="F4" s="214" t="s">
        <v>23</v>
      </c>
      <c r="G4" s="251">
        <f>SUMIF(Superfici!$F$4:$F$43,"NC",Superfici!$Y$4:$Y$43)</f>
        <v>0</v>
      </c>
      <c r="H4" s="214" t="s">
        <v>23</v>
      </c>
      <c r="I4" s="257">
        <v>1</v>
      </c>
      <c r="J4" s="214" t="s">
        <v>13</v>
      </c>
      <c r="K4" s="221">
        <f aca="true" t="shared" si="0" ref="K4:K21">SUM(E4*G4*I4)</f>
        <v>0</v>
      </c>
      <c r="M4" s="219">
        <v>31.99554</v>
      </c>
    </row>
    <row r="5" spans="1:13" ht="12.75">
      <c r="A5" s="500"/>
      <c r="B5" s="502"/>
      <c r="C5" s="213" t="s">
        <v>100</v>
      </c>
      <c r="D5" s="214" t="s">
        <v>13</v>
      </c>
      <c r="E5" s="276">
        <f aca="true" t="shared" si="1" ref="E5:E21">M5*1.1</f>
        <v>28.155732</v>
      </c>
      <c r="F5" s="214" t="s">
        <v>23</v>
      </c>
      <c r="G5" s="251">
        <f>SUMIF(Superfici!$F$4:$F$43,"RE con CU",Superfici!$Y$4:$Y$43)</f>
        <v>0</v>
      </c>
      <c r="H5" s="214" t="s">
        <v>23</v>
      </c>
      <c r="I5" s="257">
        <v>1</v>
      </c>
      <c r="J5" s="214" t="s">
        <v>13</v>
      </c>
      <c r="K5" s="221">
        <f t="shared" si="0"/>
        <v>0</v>
      </c>
      <c r="M5" s="219">
        <v>25.59612</v>
      </c>
    </row>
    <row r="6" spans="1:13" ht="12.75">
      <c r="A6" s="500"/>
      <c r="B6" s="493"/>
      <c r="C6" s="284" t="s">
        <v>101</v>
      </c>
      <c r="D6" s="285" t="s">
        <v>13</v>
      </c>
      <c r="E6" s="279">
        <f t="shared" si="1"/>
        <v>7.0387900000000005</v>
      </c>
      <c r="F6" s="285" t="s">
        <v>23</v>
      </c>
      <c r="G6" s="252">
        <f>SUMIF(Superfici!$F$4:$F$43,"RE senza CU",Superfici!$Y$4:$Y$43)</f>
        <v>0</v>
      </c>
      <c r="H6" s="285" t="s">
        <v>23</v>
      </c>
      <c r="I6" s="286">
        <v>1</v>
      </c>
      <c r="J6" s="285" t="s">
        <v>13</v>
      </c>
      <c r="K6" s="287">
        <f t="shared" si="0"/>
        <v>0</v>
      </c>
      <c r="M6" s="279">
        <v>6.3989</v>
      </c>
    </row>
    <row r="7" spans="1:13" ht="12.75">
      <c r="A7" s="500"/>
      <c r="B7" s="496" t="s">
        <v>102</v>
      </c>
      <c r="C7" s="111" t="s">
        <v>99</v>
      </c>
      <c r="D7" s="109" t="s">
        <v>13</v>
      </c>
      <c r="E7" s="276">
        <f t="shared" si="1"/>
        <v>35.195094</v>
      </c>
      <c r="F7" s="109" t="s">
        <v>23</v>
      </c>
      <c r="G7" s="251">
        <f>SUMIF(Superfici!$F$4:$F$43,"NC",Superfici!$Z$4:$Z$43)</f>
        <v>0</v>
      </c>
      <c r="H7" s="109" t="s">
        <v>23</v>
      </c>
      <c r="I7" s="258">
        <v>1</v>
      </c>
      <c r="J7" s="109" t="s">
        <v>13</v>
      </c>
      <c r="K7" s="222">
        <f>SUM(E7*G7*I7)</f>
        <v>0</v>
      </c>
      <c r="M7" s="224">
        <v>31.99554</v>
      </c>
    </row>
    <row r="8" spans="1:13" ht="12.75">
      <c r="A8" s="500"/>
      <c r="B8" s="503"/>
      <c r="C8" s="37" t="s">
        <v>100</v>
      </c>
      <c r="D8" s="36" t="s">
        <v>13</v>
      </c>
      <c r="E8" s="276">
        <f t="shared" si="1"/>
        <v>35.195094</v>
      </c>
      <c r="F8" s="36" t="s">
        <v>23</v>
      </c>
      <c r="G8" s="251">
        <f>SUMIF(Superfici!$F$4:$F$43,"RE con CU",Superfici!$Z$4:$Z$43)</f>
        <v>0</v>
      </c>
      <c r="H8" s="36" t="s">
        <v>23</v>
      </c>
      <c r="I8" s="258">
        <v>1</v>
      </c>
      <c r="J8" s="36" t="s">
        <v>13</v>
      </c>
      <c r="K8" s="222">
        <f>SUM(E8*G8*I8)</f>
        <v>0</v>
      </c>
      <c r="M8" s="224">
        <v>31.99554</v>
      </c>
    </row>
    <row r="9" spans="1:13" ht="12.75">
      <c r="A9" s="500"/>
      <c r="B9" s="497"/>
      <c r="C9" s="1" t="s">
        <v>101</v>
      </c>
      <c r="D9" s="110" t="s">
        <v>13</v>
      </c>
      <c r="E9" s="279">
        <f t="shared" si="1"/>
        <v>14.078152000000001</v>
      </c>
      <c r="F9" s="110" t="s">
        <v>23</v>
      </c>
      <c r="G9" s="252">
        <f>SUMIF(Superfici!$F$4:$F$43,"RE senza CU",Superfici!$Z$4:$Z$43)</f>
        <v>0</v>
      </c>
      <c r="H9" s="110" t="s">
        <v>23</v>
      </c>
      <c r="I9" s="259">
        <v>1</v>
      </c>
      <c r="J9" s="110" t="s">
        <v>13</v>
      </c>
      <c r="K9" s="223">
        <f>SUM(E9*G9*I9)</f>
        <v>0</v>
      </c>
      <c r="M9" s="225">
        <v>12.79832</v>
      </c>
    </row>
    <row r="10" spans="1:13" ht="12.75">
      <c r="A10" s="500"/>
      <c r="B10" s="496" t="s">
        <v>103</v>
      </c>
      <c r="C10" s="111" t="s">
        <v>99</v>
      </c>
      <c r="D10" s="109" t="s">
        <v>13</v>
      </c>
      <c r="E10" s="276">
        <f t="shared" si="1"/>
        <v>17.597547</v>
      </c>
      <c r="F10" s="109" t="s">
        <v>23</v>
      </c>
      <c r="G10" s="251">
        <f>SUMIF(Superfici!$F$4:$F$43,"NC",Superfici!$AA$4:$AA$43)</f>
        <v>0</v>
      </c>
      <c r="H10" s="109" t="s">
        <v>23</v>
      </c>
      <c r="I10" s="258">
        <v>1</v>
      </c>
      <c r="J10" s="109" t="s">
        <v>13</v>
      </c>
      <c r="K10" s="222">
        <f t="shared" si="0"/>
        <v>0</v>
      </c>
      <c r="M10" s="226">
        <v>15.99777</v>
      </c>
    </row>
    <row r="11" spans="1:13" ht="12.75">
      <c r="A11" s="500"/>
      <c r="B11" s="503"/>
      <c r="C11" s="37" t="s">
        <v>100</v>
      </c>
      <c r="D11" s="36" t="s">
        <v>13</v>
      </c>
      <c r="E11" s="276">
        <f t="shared" si="1"/>
        <v>17.597547</v>
      </c>
      <c r="F11" s="36" t="s">
        <v>23</v>
      </c>
      <c r="G11" s="251">
        <f>SUMIF(Superfici!$F$4:$F$43,"RE con CU",Superfici!$AA$4:$AA$43)</f>
        <v>0</v>
      </c>
      <c r="H11" s="36" t="s">
        <v>23</v>
      </c>
      <c r="I11" s="258">
        <v>1</v>
      </c>
      <c r="J11" s="36" t="s">
        <v>13</v>
      </c>
      <c r="K11" s="222">
        <f t="shared" si="0"/>
        <v>0</v>
      </c>
      <c r="M11" s="224">
        <v>15.99777</v>
      </c>
    </row>
    <row r="12" spans="1:13" ht="12.75">
      <c r="A12" s="500"/>
      <c r="B12" s="497"/>
      <c r="C12" s="1" t="s">
        <v>101</v>
      </c>
      <c r="D12" s="110" t="s">
        <v>13</v>
      </c>
      <c r="E12" s="279">
        <f t="shared" si="1"/>
        <v>7.039075128985112</v>
      </c>
      <c r="F12" s="110" t="s">
        <v>23</v>
      </c>
      <c r="G12" s="252">
        <f>SUMIF(Superfici!$F$4:$F$43,"RE senza CU",Superfici!$AA$4:$AA$43)</f>
        <v>0</v>
      </c>
      <c r="H12" s="110" t="s">
        <v>23</v>
      </c>
      <c r="I12" s="259">
        <v>1</v>
      </c>
      <c r="J12" s="110" t="s">
        <v>13</v>
      </c>
      <c r="K12" s="223">
        <f t="shared" si="0"/>
        <v>0</v>
      </c>
      <c r="M12" s="280">
        <f>24781/1936.27/2</f>
        <v>6.399159208168283</v>
      </c>
    </row>
    <row r="13" spans="1:13" ht="12.75" customHeight="1">
      <c r="A13" s="500"/>
      <c r="B13" s="496" t="s">
        <v>274</v>
      </c>
      <c r="C13" s="111" t="s">
        <v>99</v>
      </c>
      <c r="D13" s="109" t="s">
        <v>13</v>
      </c>
      <c r="E13" s="276">
        <f t="shared" si="1"/>
        <v>11.984126000000002</v>
      </c>
      <c r="F13" s="109" t="s">
        <v>23</v>
      </c>
      <c r="G13" s="251">
        <f>SUMIF(Superfici!$F$4:$F$43,"NC",Superfici!$AB$4:$AB$43)</f>
        <v>0</v>
      </c>
      <c r="H13" s="109" t="s">
        <v>23</v>
      </c>
      <c r="I13" s="258">
        <v>1</v>
      </c>
      <c r="J13" s="109" t="s">
        <v>13</v>
      </c>
      <c r="K13" s="222">
        <f t="shared" si="0"/>
        <v>0</v>
      </c>
      <c r="M13" s="226">
        <v>10.89466</v>
      </c>
    </row>
    <row r="14" spans="1:13" ht="12.75">
      <c r="A14" s="500"/>
      <c r="B14" s="503"/>
      <c r="C14" s="37" t="s">
        <v>100</v>
      </c>
      <c r="D14" s="36" t="s">
        <v>13</v>
      </c>
      <c r="E14" s="276">
        <f t="shared" si="1"/>
        <v>9.302117</v>
      </c>
      <c r="F14" s="36" t="s">
        <v>23</v>
      </c>
      <c r="G14" s="251">
        <f>SUMIF(Superfici!$F$4:$F$43,"RE con CU",Superfici!$AB$4:$AB$43)</f>
        <v>0</v>
      </c>
      <c r="H14" s="36" t="s">
        <v>23</v>
      </c>
      <c r="I14" s="258">
        <v>1</v>
      </c>
      <c r="J14" s="36" t="s">
        <v>13</v>
      </c>
      <c r="K14" s="222">
        <f>SUM(E14*G14*I14)</f>
        <v>0</v>
      </c>
      <c r="M14" s="224">
        <v>8.45647</v>
      </c>
    </row>
    <row r="15" spans="1:13" ht="12.75">
      <c r="A15" s="500"/>
      <c r="B15" s="497"/>
      <c r="C15" s="1" t="s">
        <v>101</v>
      </c>
      <c r="D15" s="110" t="s">
        <v>13</v>
      </c>
      <c r="E15" s="279">
        <f t="shared" si="1"/>
        <v>5.991777000000001</v>
      </c>
      <c r="F15" s="110" t="s">
        <v>23</v>
      </c>
      <c r="G15" s="252">
        <f>SUMIF(Superfici!$F$4:$F$43,"RE senza CU",Superfici!$AB$4:$AB$43)</f>
        <v>0</v>
      </c>
      <c r="H15" s="110" t="s">
        <v>23</v>
      </c>
      <c r="I15" s="259">
        <v>1</v>
      </c>
      <c r="J15" s="110" t="s">
        <v>13</v>
      </c>
      <c r="K15" s="223">
        <f t="shared" si="0"/>
        <v>0</v>
      </c>
      <c r="M15" s="225">
        <v>5.44707</v>
      </c>
    </row>
    <row r="16" spans="1:13" ht="12.75" customHeight="1">
      <c r="A16" s="500"/>
      <c r="B16" s="492" t="s">
        <v>275</v>
      </c>
      <c r="C16" s="266" t="s">
        <v>99</v>
      </c>
      <c r="D16" s="267" t="s">
        <v>13</v>
      </c>
      <c r="E16" s="276">
        <f t="shared" si="1"/>
        <v>11.984126000000002</v>
      </c>
      <c r="F16" s="267" t="s">
        <v>23</v>
      </c>
      <c r="G16" s="251">
        <f>SUMIF(Superfici!$F$4:$F$43,"NC",Superfici!$AC$4:$AC$43)</f>
        <v>0</v>
      </c>
      <c r="H16" s="267" t="s">
        <v>23</v>
      </c>
      <c r="I16" s="257">
        <v>1</v>
      </c>
      <c r="J16" s="267" t="s">
        <v>13</v>
      </c>
      <c r="K16" s="221">
        <f t="shared" si="0"/>
        <v>0</v>
      </c>
      <c r="M16" s="226">
        <v>10.89466</v>
      </c>
    </row>
    <row r="17" spans="1:13" ht="12.75">
      <c r="A17" s="500"/>
      <c r="B17" s="502"/>
      <c r="C17" s="37" t="s">
        <v>100</v>
      </c>
      <c r="D17" s="36" t="s">
        <v>13</v>
      </c>
      <c r="E17" s="276">
        <f t="shared" si="1"/>
        <v>9.583893000000002</v>
      </c>
      <c r="F17" s="36" t="s">
        <v>23</v>
      </c>
      <c r="G17" s="251">
        <f>SUMIF(Superfici!$F$4:$F$43,"RE con CU",Superfici!$AC$4:$AC$43)</f>
        <v>0</v>
      </c>
      <c r="H17" s="36" t="s">
        <v>23</v>
      </c>
      <c r="I17" s="258">
        <v>1</v>
      </c>
      <c r="J17" s="36" t="s">
        <v>13</v>
      </c>
      <c r="K17" s="222">
        <f t="shared" si="0"/>
        <v>0</v>
      </c>
      <c r="M17" s="224">
        <v>8.71263</v>
      </c>
    </row>
    <row r="18" spans="1:13" ht="12.75">
      <c r="A18" s="500"/>
      <c r="B18" s="493"/>
      <c r="C18" s="1" t="s">
        <v>101</v>
      </c>
      <c r="D18" s="110" t="s">
        <v>13</v>
      </c>
      <c r="E18" s="279">
        <f t="shared" si="1"/>
        <v>5.992349000000001</v>
      </c>
      <c r="F18" s="110" t="s">
        <v>23</v>
      </c>
      <c r="G18" s="252">
        <f>SUMIF(Superfici!$F$4:$F$43,"RE senza CU",Superfici!$AC$4:$AC$43)</f>
        <v>0</v>
      </c>
      <c r="H18" s="110" t="s">
        <v>23</v>
      </c>
      <c r="I18" s="259">
        <v>1</v>
      </c>
      <c r="J18" s="110" t="s">
        <v>13</v>
      </c>
      <c r="K18" s="223">
        <f t="shared" si="0"/>
        <v>0</v>
      </c>
      <c r="M18" s="225">
        <v>5.44759</v>
      </c>
    </row>
    <row r="19" spans="1:13" ht="12.75">
      <c r="A19" s="500"/>
      <c r="B19" s="496" t="s">
        <v>104</v>
      </c>
      <c r="C19" s="111" t="s">
        <v>99</v>
      </c>
      <c r="D19" s="109" t="s">
        <v>13</v>
      </c>
      <c r="E19" s="276">
        <f t="shared" si="1"/>
        <v>19.973349</v>
      </c>
      <c r="F19" s="109" t="s">
        <v>23</v>
      </c>
      <c r="G19" s="251">
        <f>SUMIF(Superfici!$F$4:$F$43,"NC",Superfici!$AD$4:$AD$43)</f>
        <v>0</v>
      </c>
      <c r="H19" s="109" t="s">
        <v>23</v>
      </c>
      <c r="I19" s="258">
        <v>1</v>
      </c>
      <c r="J19" s="109" t="s">
        <v>13</v>
      </c>
      <c r="K19" s="222">
        <f t="shared" si="0"/>
        <v>0</v>
      </c>
      <c r="M19" s="226">
        <v>18.15759</v>
      </c>
    </row>
    <row r="20" spans="1:13" ht="12.75">
      <c r="A20" s="500"/>
      <c r="B20" s="503"/>
      <c r="C20" s="37" t="s">
        <v>100</v>
      </c>
      <c r="D20" s="36" t="s">
        <v>13</v>
      </c>
      <c r="E20" s="276">
        <f t="shared" si="1"/>
        <v>15.978457</v>
      </c>
      <c r="F20" s="36" t="s">
        <v>23</v>
      </c>
      <c r="G20" s="251">
        <f>SUMIF(Superfici!$F$4:$F$43,"RE con CU",Superfici!$AD$4:$AD$43)</f>
        <v>0</v>
      </c>
      <c r="H20" s="36" t="s">
        <v>23</v>
      </c>
      <c r="I20" s="258">
        <v>1</v>
      </c>
      <c r="J20" s="36" t="s">
        <v>13</v>
      </c>
      <c r="K20" s="222">
        <f t="shared" si="0"/>
        <v>0</v>
      </c>
      <c r="M20" s="224">
        <v>14.52587</v>
      </c>
    </row>
    <row r="21" spans="1:13" ht="12.75">
      <c r="A21" s="501"/>
      <c r="B21" s="497"/>
      <c r="C21" s="1" t="s">
        <v>101</v>
      </c>
      <c r="D21" s="110" t="s">
        <v>13</v>
      </c>
      <c r="E21" s="276">
        <f t="shared" si="1"/>
        <v>7.989223000000001</v>
      </c>
      <c r="F21" s="110" t="s">
        <v>23</v>
      </c>
      <c r="G21" s="252">
        <f>SUMIF(Superfici!$F$4:$F$43,"RE senza CU",Superfici!$AD$4:$AD$43)</f>
        <v>0</v>
      </c>
      <c r="H21" s="110" t="s">
        <v>23</v>
      </c>
      <c r="I21" s="258">
        <v>1</v>
      </c>
      <c r="J21" s="110" t="s">
        <v>13</v>
      </c>
      <c r="K21" s="223">
        <f t="shared" si="0"/>
        <v>0</v>
      </c>
      <c r="M21" s="225">
        <v>7.26293</v>
      </c>
    </row>
    <row r="22" spans="1:11" ht="12.75">
      <c r="A22" s="469"/>
      <c r="B22" s="469"/>
      <c r="C22" s="469"/>
      <c r="D22" s="480"/>
      <c r="E22" s="469"/>
      <c r="F22" s="480"/>
      <c r="G22" s="469"/>
      <c r="H22" s="480"/>
      <c r="I22" s="469"/>
      <c r="J22" s="480"/>
      <c r="K22" s="458"/>
    </row>
    <row r="23" spans="2:11" ht="12.75">
      <c r="B23" s="106" t="s">
        <v>91</v>
      </c>
      <c r="C23" s="107" t="s">
        <v>92</v>
      </c>
      <c r="D23" s="106"/>
      <c r="E23" s="106" t="s">
        <v>93</v>
      </c>
      <c r="F23" s="106"/>
      <c r="G23" s="106" t="s">
        <v>94</v>
      </c>
      <c r="H23" s="106"/>
      <c r="I23" s="106" t="s">
        <v>95</v>
      </c>
      <c r="J23" s="106"/>
      <c r="K23" s="135" t="s">
        <v>96</v>
      </c>
    </row>
    <row r="24" spans="1:11" ht="12.75">
      <c r="A24" s="499" t="s">
        <v>105</v>
      </c>
      <c r="B24" s="29"/>
      <c r="C24" s="29"/>
      <c r="D24" s="29"/>
      <c r="E24" s="29"/>
      <c r="F24" s="29"/>
      <c r="G24" s="108"/>
      <c r="H24" s="29"/>
      <c r="I24" s="108"/>
      <c r="J24" s="29"/>
      <c r="K24" s="134"/>
    </row>
    <row r="25" spans="1:13" ht="12.75">
      <c r="A25" s="500"/>
      <c r="B25" s="492" t="s">
        <v>98</v>
      </c>
      <c r="C25" s="266" t="s">
        <v>99</v>
      </c>
      <c r="D25" s="267" t="s">
        <v>13</v>
      </c>
      <c r="E25" s="276">
        <f aca="true" t="shared" si="2" ref="E25:E42">M25*1.1</f>
        <v>50.899156000000005</v>
      </c>
      <c r="F25" s="267" t="s">
        <v>23</v>
      </c>
      <c r="G25" s="251">
        <f>G4</f>
        <v>0</v>
      </c>
      <c r="H25" s="267" t="s">
        <v>23</v>
      </c>
      <c r="I25" s="257">
        <v>1</v>
      </c>
      <c r="J25" s="267" t="s">
        <v>13</v>
      </c>
      <c r="K25" s="221">
        <f aca="true" t="shared" si="3" ref="K25:K42">SUM(E25*G25*I25)</f>
        <v>0</v>
      </c>
      <c r="M25" s="268">
        <v>46.27196</v>
      </c>
    </row>
    <row r="26" spans="1:13" ht="12.75">
      <c r="A26" s="500"/>
      <c r="B26" s="502"/>
      <c r="C26" s="213" t="s">
        <v>100</v>
      </c>
      <c r="D26" s="214" t="s">
        <v>13</v>
      </c>
      <c r="E26" s="276">
        <f t="shared" si="2"/>
        <v>40.719316000000006</v>
      </c>
      <c r="F26" s="214" t="s">
        <v>23</v>
      </c>
      <c r="G26" s="251">
        <f aca="true" t="shared" si="4" ref="G26:G42">G5</f>
        <v>0</v>
      </c>
      <c r="H26" s="214" t="s">
        <v>23</v>
      </c>
      <c r="I26" s="257">
        <v>1</v>
      </c>
      <c r="J26" s="214" t="s">
        <v>13</v>
      </c>
      <c r="K26" s="221">
        <f t="shared" si="3"/>
        <v>0</v>
      </c>
      <c r="M26" s="219">
        <v>37.01756</v>
      </c>
    </row>
    <row r="27" spans="1:13" ht="12.75">
      <c r="A27" s="500"/>
      <c r="B27" s="493"/>
      <c r="C27" s="284" t="s">
        <v>101</v>
      </c>
      <c r="D27" s="285" t="s">
        <v>13</v>
      </c>
      <c r="E27" s="279">
        <f t="shared" si="2"/>
        <v>10.179829000000002</v>
      </c>
      <c r="F27" s="285" t="s">
        <v>23</v>
      </c>
      <c r="G27" s="252">
        <f t="shared" si="4"/>
        <v>0</v>
      </c>
      <c r="H27" s="285" t="s">
        <v>23</v>
      </c>
      <c r="I27" s="286">
        <v>1</v>
      </c>
      <c r="J27" s="285" t="s">
        <v>13</v>
      </c>
      <c r="K27" s="287">
        <f t="shared" si="3"/>
        <v>0</v>
      </c>
      <c r="M27" s="220">
        <v>9.25439</v>
      </c>
    </row>
    <row r="28" spans="1:13" ht="12.75">
      <c r="A28" s="500"/>
      <c r="B28" s="496" t="s">
        <v>102</v>
      </c>
      <c r="C28" s="111" t="s">
        <v>99</v>
      </c>
      <c r="D28" s="109" t="s">
        <v>13</v>
      </c>
      <c r="E28" s="276">
        <f t="shared" si="2"/>
        <v>50.979819</v>
      </c>
      <c r="F28" s="109" t="s">
        <v>23</v>
      </c>
      <c r="G28" s="251">
        <f t="shared" si="4"/>
        <v>0</v>
      </c>
      <c r="H28" s="109" t="s">
        <v>23</v>
      </c>
      <c r="I28" s="258">
        <v>1</v>
      </c>
      <c r="J28" s="109" t="s">
        <v>13</v>
      </c>
      <c r="K28" s="222">
        <f t="shared" si="3"/>
        <v>0</v>
      </c>
      <c r="M28" s="226">
        <v>46.34529</v>
      </c>
    </row>
    <row r="29" spans="1:13" ht="12.75">
      <c r="A29" s="500"/>
      <c r="B29" s="503"/>
      <c r="C29" s="37" t="s">
        <v>100</v>
      </c>
      <c r="D29" s="36" t="s">
        <v>13</v>
      </c>
      <c r="E29" s="276">
        <f t="shared" si="2"/>
        <v>50.979819</v>
      </c>
      <c r="F29" s="36" t="s">
        <v>23</v>
      </c>
      <c r="G29" s="251">
        <f t="shared" si="4"/>
        <v>0</v>
      </c>
      <c r="H29" s="36" t="s">
        <v>23</v>
      </c>
      <c r="I29" s="258">
        <v>1</v>
      </c>
      <c r="J29" s="36" t="s">
        <v>13</v>
      </c>
      <c r="K29" s="222">
        <f t="shared" si="3"/>
        <v>0</v>
      </c>
      <c r="M29" s="224">
        <v>46.34529</v>
      </c>
    </row>
    <row r="30" spans="1:13" ht="12.75">
      <c r="A30" s="500"/>
      <c r="B30" s="497"/>
      <c r="C30" s="1" t="s">
        <v>101</v>
      </c>
      <c r="D30" s="110" t="s">
        <v>13</v>
      </c>
      <c r="E30" s="279">
        <f t="shared" si="2"/>
        <v>20.392042</v>
      </c>
      <c r="F30" s="110" t="s">
        <v>23</v>
      </c>
      <c r="G30" s="252">
        <f t="shared" si="4"/>
        <v>0</v>
      </c>
      <c r="H30" s="110" t="s">
        <v>23</v>
      </c>
      <c r="I30" s="259">
        <v>1</v>
      </c>
      <c r="J30" s="110" t="s">
        <v>13</v>
      </c>
      <c r="K30" s="223">
        <f t="shared" si="3"/>
        <v>0</v>
      </c>
      <c r="M30" s="225">
        <v>18.53822</v>
      </c>
    </row>
    <row r="31" spans="1:13" ht="12.75">
      <c r="A31" s="500"/>
      <c r="B31" s="496" t="s">
        <v>103</v>
      </c>
      <c r="C31" s="111" t="s">
        <v>99</v>
      </c>
      <c r="D31" s="109" t="s">
        <v>13</v>
      </c>
      <c r="E31" s="276">
        <f t="shared" si="2"/>
        <v>25.489911014476288</v>
      </c>
      <c r="F31" s="109" t="s">
        <v>23</v>
      </c>
      <c r="G31" s="251">
        <f t="shared" si="4"/>
        <v>0</v>
      </c>
      <c r="H31" s="109" t="s">
        <v>23</v>
      </c>
      <c r="I31" s="258">
        <v>1</v>
      </c>
      <c r="J31" s="109" t="s">
        <v>13</v>
      </c>
      <c r="K31" s="222">
        <f t="shared" si="3"/>
        <v>0</v>
      </c>
      <c r="M31" s="226">
        <f>89737/1936.27/2</f>
        <v>23.172646376796624</v>
      </c>
    </row>
    <row r="32" spans="1:13" ht="12.75">
      <c r="A32" s="500"/>
      <c r="B32" s="503"/>
      <c r="C32" s="37" t="s">
        <v>100</v>
      </c>
      <c r="D32" s="36" t="s">
        <v>13</v>
      </c>
      <c r="E32" s="276">
        <f t="shared" si="2"/>
        <v>25.489911014476288</v>
      </c>
      <c r="F32" s="36" t="s">
        <v>23</v>
      </c>
      <c r="G32" s="251">
        <f t="shared" si="4"/>
        <v>0</v>
      </c>
      <c r="H32" s="36" t="s">
        <v>23</v>
      </c>
      <c r="I32" s="258">
        <v>1</v>
      </c>
      <c r="J32" s="36" t="s">
        <v>13</v>
      </c>
      <c r="K32" s="222">
        <f t="shared" si="3"/>
        <v>0</v>
      </c>
      <c r="M32" s="224">
        <f>M31</f>
        <v>23.172646376796624</v>
      </c>
    </row>
    <row r="33" spans="1:13" ht="12.75">
      <c r="A33" s="500"/>
      <c r="B33" s="497"/>
      <c r="C33" s="1" t="s">
        <v>101</v>
      </c>
      <c r="D33" s="110" t="s">
        <v>13</v>
      </c>
      <c r="E33" s="279">
        <f t="shared" si="2"/>
        <v>10.196021216049415</v>
      </c>
      <c r="F33" s="110" t="s">
        <v>23</v>
      </c>
      <c r="G33" s="251">
        <f t="shared" si="4"/>
        <v>0</v>
      </c>
      <c r="H33" s="110" t="s">
        <v>23</v>
      </c>
      <c r="I33" s="259">
        <v>1</v>
      </c>
      <c r="J33" s="110" t="s">
        <v>13</v>
      </c>
      <c r="K33" s="223">
        <f t="shared" si="3"/>
        <v>0</v>
      </c>
      <c r="M33" s="225">
        <f>35895/1936.27/2</f>
        <v>9.269110196408558</v>
      </c>
    </row>
    <row r="34" spans="1:13" ht="12.75">
      <c r="A34" s="500"/>
      <c r="B34" s="496" t="s">
        <v>274</v>
      </c>
      <c r="C34" s="111" t="s">
        <v>99</v>
      </c>
      <c r="D34" s="109" t="s">
        <v>13</v>
      </c>
      <c r="E34" s="276">
        <f t="shared" si="2"/>
        <v>3.3824780000000003</v>
      </c>
      <c r="F34" s="109" t="s">
        <v>23</v>
      </c>
      <c r="G34" s="253">
        <f t="shared" si="4"/>
        <v>0</v>
      </c>
      <c r="H34" s="109" t="s">
        <v>23</v>
      </c>
      <c r="I34" s="258">
        <v>1</v>
      </c>
      <c r="J34" s="109" t="s">
        <v>13</v>
      </c>
      <c r="K34" s="222">
        <f t="shared" si="3"/>
        <v>0</v>
      </c>
      <c r="M34" s="226">
        <v>3.07498</v>
      </c>
    </row>
    <row r="35" spans="1:13" ht="12.75">
      <c r="A35" s="500"/>
      <c r="B35" s="503"/>
      <c r="C35" s="37" t="s">
        <v>100</v>
      </c>
      <c r="D35" s="36" t="s">
        <v>13</v>
      </c>
      <c r="E35" s="276">
        <f t="shared" si="2"/>
        <v>2.705868</v>
      </c>
      <c r="F35" s="36" t="s">
        <v>23</v>
      </c>
      <c r="G35" s="251">
        <f t="shared" si="4"/>
        <v>0</v>
      </c>
      <c r="H35" s="36" t="s">
        <v>23</v>
      </c>
      <c r="I35" s="258">
        <v>1</v>
      </c>
      <c r="J35" s="36" t="s">
        <v>13</v>
      </c>
      <c r="K35" s="222">
        <f t="shared" si="3"/>
        <v>0</v>
      </c>
      <c r="M35" s="224">
        <v>2.45988</v>
      </c>
    </row>
    <row r="36" spans="1:13" ht="12.75">
      <c r="A36" s="500"/>
      <c r="B36" s="497"/>
      <c r="C36" s="1" t="s">
        <v>101</v>
      </c>
      <c r="D36" s="110" t="s">
        <v>13</v>
      </c>
      <c r="E36" s="279">
        <f t="shared" si="2"/>
        <v>1.6912390000000002</v>
      </c>
      <c r="F36" s="110" t="s">
        <v>23</v>
      </c>
      <c r="G36" s="251">
        <f t="shared" si="4"/>
        <v>0</v>
      </c>
      <c r="H36" s="110" t="s">
        <v>23</v>
      </c>
      <c r="I36" s="259">
        <v>1</v>
      </c>
      <c r="J36" s="110" t="s">
        <v>13</v>
      </c>
      <c r="K36" s="223">
        <f t="shared" si="3"/>
        <v>0</v>
      </c>
      <c r="M36" s="225">
        <v>1.53749</v>
      </c>
    </row>
    <row r="37" spans="1:13" ht="12.75">
      <c r="A37" s="500"/>
      <c r="B37" s="492" t="s">
        <v>275</v>
      </c>
      <c r="C37" s="266" t="s">
        <v>99</v>
      </c>
      <c r="D37" s="267" t="s">
        <v>13</v>
      </c>
      <c r="E37" s="276">
        <f t="shared" si="2"/>
        <v>3.3830500000000003</v>
      </c>
      <c r="F37" s="267" t="s">
        <v>23</v>
      </c>
      <c r="G37" s="253">
        <f t="shared" si="4"/>
        <v>0</v>
      </c>
      <c r="H37" s="267" t="s">
        <v>23</v>
      </c>
      <c r="I37" s="257">
        <v>1</v>
      </c>
      <c r="J37" s="267" t="s">
        <v>13</v>
      </c>
      <c r="K37" s="221">
        <f t="shared" si="3"/>
        <v>0</v>
      </c>
      <c r="M37" s="226">
        <v>3.0755</v>
      </c>
    </row>
    <row r="38" spans="1:13" ht="12.75">
      <c r="A38" s="500"/>
      <c r="B38" s="502"/>
      <c r="C38" s="37" t="s">
        <v>100</v>
      </c>
      <c r="D38" s="36" t="s">
        <v>13</v>
      </c>
      <c r="E38" s="276">
        <f t="shared" si="2"/>
        <v>2.705868</v>
      </c>
      <c r="F38" s="36" t="s">
        <v>23</v>
      </c>
      <c r="G38" s="251">
        <f t="shared" si="4"/>
        <v>0</v>
      </c>
      <c r="H38" s="36" t="s">
        <v>23</v>
      </c>
      <c r="I38" s="258">
        <v>1</v>
      </c>
      <c r="J38" s="36" t="s">
        <v>13</v>
      </c>
      <c r="K38" s="222">
        <f t="shared" si="3"/>
        <v>0</v>
      </c>
      <c r="M38" s="224">
        <v>2.45988</v>
      </c>
    </row>
    <row r="39" spans="1:13" ht="12.75">
      <c r="A39" s="500"/>
      <c r="B39" s="493"/>
      <c r="C39" s="1" t="s">
        <v>101</v>
      </c>
      <c r="D39" s="110" t="s">
        <v>13</v>
      </c>
      <c r="E39" s="279">
        <f t="shared" si="2"/>
        <v>1.6912390000000002</v>
      </c>
      <c r="F39" s="110" t="s">
        <v>23</v>
      </c>
      <c r="G39" s="252">
        <f t="shared" si="4"/>
        <v>0</v>
      </c>
      <c r="H39" s="110" t="s">
        <v>23</v>
      </c>
      <c r="I39" s="259">
        <v>1</v>
      </c>
      <c r="J39" s="110" t="s">
        <v>13</v>
      </c>
      <c r="K39" s="223">
        <f t="shared" si="3"/>
        <v>0</v>
      </c>
      <c r="M39" s="225">
        <v>1.53749</v>
      </c>
    </row>
    <row r="40" spans="1:13" ht="12.75">
      <c r="A40" s="500"/>
      <c r="B40" s="496" t="s">
        <v>104</v>
      </c>
      <c r="C40" s="111" t="s">
        <v>99</v>
      </c>
      <c r="D40" s="109" t="s">
        <v>13</v>
      </c>
      <c r="E40" s="276">
        <f t="shared" si="2"/>
        <v>5.63728</v>
      </c>
      <c r="F40" s="109" t="s">
        <v>23</v>
      </c>
      <c r="G40" s="251">
        <f t="shared" si="4"/>
        <v>0</v>
      </c>
      <c r="H40" s="109" t="s">
        <v>23</v>
      </c>
      <c r="I40" s="258">
        <v>1</v>
      </c>
      <c r="J40" s="109" t="s">
        <v>13</v>
      </c>
      <c r="K40" s="222">
        <f t="shared" si="3"/>
        <v>0</v>
      </c>
      <c r="M40" s="226">
        <v>5.1248</v>
      </c>
    </row>
    <row r="41" spans="1:13" ht="12.75">
      <c r="A41" s="500"/>
      <c r="B41" s="503"/>
      <c r="C41" s="37" t="s">
        <v>100</v>
      </c>
      <c r="D41" s="36" t="s">
        <v>13</v>
      </c>
      <c r="E41" s="276">
        <f t="shared" si="2"/>
        <v>4.509593000000001</v>
      </c>
      <c r="F41" s="36" t="s">
        <v>23</v>
      </c>
      <c r="G41" s="251">
        <f t="shared" si="4"/>
        <v>0</v>
      </c>
      <c r="H41" s="36" t="s">
        <v>23</v>
      </c>
      <c r="I41" s="258">
        <v>1</v>
      </c>
      <c r="J41" s="36" t="s">
        <v>13</v>
      </c>
      <c r="K41" s="222">
        <f t="shared" si="3"/>
        <v>0</v>
      </c>
      <c r="M41" s="224">
        <v>4.09963</v>
      </c>
    </row>
    <row r="42" spans="1:13" ht="12.75">
      <c r="A42" s="501"/>
      <c r="B42" s="497"/>
      <c r="C42" s="1" t="s">
        <v>101</v>
      </c>
      <c r="D42" s="110" t="s">
        <v>13</v>
      </c>
      <c r="E42" s="276">
        <f t="shared" si="2"/>
        <v>2.2553630000000005</v>
      </c>
      <c r="F42" s="110" t="s">
        <v>23</v>
      </c>
      <c r="G42" s="251">
        <f t="shared" si="4"/>
        <v>0</v>
      </c>
      <c r="H42" s="110" t="s">
        <v>23</v>
      </c>
      <c r="I42" s="258">
        <v>1</v>
      </c>
      <c r="J42" s="110" t="s">
        <v>13</v>
      </c>
      <c r="K42" s="223">
        <f t="shared" si="3"/>
        <v>0</v>
      </c>
      <c r="M42" s="225">
        <v>2.05033</v>
      </c>
    </row>
    <row r="43" spans="1:11" ht="12.75">
      <c r="A43" s="469"/>
      <c r="B43" s="469"/>
      <c r="C43" s="469"/>
      <c r="D43" s="480"/>
      <c r="E43" s="469"/>
      <c r="F43" s="480"/>
      <c r="G43" s="469"/>
      <c r="H43" s="480"/>
      <c r="I43" s="469"/>
      <c r="J43" s="480"/>
      <c r="K43" s="458"/>
    </row>
    <row r="44" spans="2:11" ht="12.75">
      <c r="B44" s="106" t="s">
        <v>91</v>
      </c>
      <c r="C44" s="107" t="s">
        <v>92</v>
      </c>
      <c r="D44" s="106"/>
      <c r="E44" s="488" t="s">
        <v>106</v>
      </c>
      <c r="F44" s="489"/>
      <c r="G44" s="490"/>
      <c r="H44" s="106"/>
      <c r="I44" s="106" t="s">
        <v>127</v>
      </c>
      <c r="J44" s="106"/>
      <c r="K44" s="135" t="s">
        <v>96</v>
      </c>
    </row>
    <row r="45" spans="1:11" ht="12.75">
      <c r="A45" s="481" t="s">
        <v>107</v>
      </c>
      <c r="B45" s="492" t="s">
        <v>108</v>
      </c>
      <c r="C45" s="266" t="s">
        <v>99</v>
      </c>
      <c r="D45" s="267" t="s">
        <v>13</v>
      </c>
      <c r="E45" s="494">
        <f>IF(I45=0,0,K45/I45)</f>
        <v>0</v>
      </c>
      <c r="F45" s="494"/>
      <c r="G45" s="494"/>
      <c r="H45" s="267" t="s">
        <v>23</v>
      </c>
      <c r="I45" s="373">
        <f>'Nuova costruzione'!D32</f>
        <v>0</v>
      </c>
      <c r="J45" s="267" t="s">
        <v>13</v>
      </c>
      <c r="K45" s="221">
        <f>'Nuova costruzione'!$G$41</f>
        <v>0</v>
      </c>
    </row>
    <row r="46" spans="1:11" ht="12.75">
      <c r="A46" s="482"/>
      <c r="B46" s="493"/>
      <c r="C46" s="284" t="s">
        <v>109</v>
      </c>
      <c r="D46" s="285" t="s">
        <v>13</v>
      </c>
      <c r="E46" s="495">
        <f>IF(I46=0,0,K46/I46)</f>
        <v>0</v>
      </c>
      <c r="F46" s="495"/>
      <c r="G46" s="495"/>
      <c r="H46" s="285" t="s">
        <v>23</v>
      </c>
      <c r="I46" s="345">
        <f>'Residenziale esistente'!D19</f>
        <v>0</v>
      </c>
      <c r="J46" s="285" t="s">
        <v>13</v>
      </c>
      <c r="K46" s="287">
        <f>'Residenziale esistente'!$L$23</f>
        <v>0</v>
      </c>
    </row>
    <row r="47" spans="1:11" ht="12.75">
      <c r="A47" s="482"/>
      <c r="B47" s="496" t="s">
        <v>81</v>
      </c>
      <c r="C47" s="111" t="s">
        <v>99</v>
      </c>
      <c r="D47" s="109" t="s">
        <v>13</v>
      </c>
      <c r="E47" s="479">
        <f>K47/I47</f>
        <v>0</v>
      </c>
      <c r="F47" s="479"/>
      <c r="G47" s="479"/>
      <c r="H47" s="109" t="s">
        <v>23</v>
      </c>
      <c r="I47" s="229">
        <v>0.1</v>
      </c>
      <c r="J47" s="109" t="s">
        <v>13</v>
      </c>
      <c r="K47" s="221">
        <f>('Nuova costruzione'!$G$43+'Nuova costruzione'!$G$44)</f>
        <v>0</v>
      </c>
    </row>
    <row r="48" spans="1:11" ht="12.75">
      <c r="A48" s="482"/>
      <c r="B48" s="497"/>
      <c r="C48" s="1" t="s">
        <v>109</v>
      </c>
      <c r="D48" s="110" t="s">
        <v>13</v>
      </c>
      <c r="E48" s="498">
        <f>K48/I48</f>
        <v>0</v>
      </c>
      <c r="F48" s="498"/>
      <c r="G48" s="498"/>
      <c r="H48" s="110" t="s">
        <v>23</v>
      </c>
      <c r="I48" s="228">
        <v>0.1</v>
      </c>
      <c r="J48" s="110" t="s">
        <v>13</v>
      </c>
      <c r="K48" s="287">
        <f>('Direzionali esistenti'!$L$23+'Commerciali esistenti'!$L$23)</f>
        <v>0</v>
      </c>
    </row>
    <row r="49" spans="1:11" ht="12.75">
      <c r="A49" s="482"/>
      <c r="B49" s="496" t="s">
        <v>110</v>
      </c>
      <c r="C49" s="111" t="s">
        <v>99</v>
      </c>
      <c r="D49" s="109" t="s">
        <v>13</v>
      </c>
      <c r="E49" s="479">
        <f>K49/I49</f>
        <v>0</v>
      </c>
      <c r="F49" s="479"/>
      <c r="G49" s="479"/>
      <c r="H49" s="109" t="s">
        <v>23</v>
      </c>
      <c r="I49" s="229">
        <v>0.1</v>
      </c>
      <c r="J49" s="109" t="s">
        <v>13</v>
      </c>
      <c r="K49" s="221">
        <f>'Nuova costruzione'!$G$42</f>
        <v>0</v>
      </c>
    </row>
    <row r="50" spans="1:11" ht="12.75">
      <c r="A50" s="491"/>
      <c r="B50" s="497"/>
      <c r="C50" s="1" t="s">
        <v>109</v>
      </c>
      <c r="D50" s="110" t="s">
        <v>13</v>
      </c>
      <c r="E50" s="479">
        <f>K50/I50</f>
        <v>0</v>
      </c>
      <c r="F50" s="479"/>
      <c r="G50" s="479"/>
      <c r="H50" s="110" t="s">
        <v>23</v>
      </c>
      <c r="I50" s="228">
        <v>0.1</v>
      </c>
      <c r="J50" s="110" t="s">
        <v>13</v>
      </c>
      <c r="K50" s="287">
        <f>'Turistiche esistenti'!$L$23</f>
        <v>0</v>
      </c>
    </row>
    <row r="51" spans="1:11" ht="12.75">
      <c r="A51" s="469"/>
      <c r="B51" s="469"/>
      <c r="C51" s="469"/>
      <c r="D51" s="480"/>
      <c r="E51" s="469"/>
      <c r="F51" s="480"/>
      <c r="G51" s="469"/>
      <c r="H51" s="480"/>
      <c r="I51" s="458"/>
      <c r="J51" s="480"/>
      <c r="K51" s="458"/>
    </row>
    <row r="52" spans="2:11" ht="12.75">
      <c r="B52" s="106" t="s">
        <v>91</v>
      </c>
      <c r="C52" s="106" t="s">
        <v>93</v>
      </c>
      <c r="D52" s="106"/>
      <c r="E52" s="106" t="s">
        <v>304</v>
      </c>
      <c r="F52" s="106"/>
      <c r="G52" s="106" t="s">
        <v>111</v>
      </c>
      <c r="H52" s="106"/>
      <c r="I52" s="106" t="s">
        <v>112</v>
      </c>
      <c r="J52" s="106"/>
      <c r="K52" s="135" t="s">
        <v>96</v>
      </c>
    </row>
    <row r="53" spans="1:13" ht="12.75">
      <c r="A53" s="481" t="s">
        <v>113</v>
      </c>
      <c r="B53" s="114" t="s">
        <v>114</v>
      </c>
      <c r="C53" s="278">
        <f>M53*1.1</f>
        <v>5.5333190000000005</v>
      </c>
      <c r="D53" s="110" t="s">
        <v>23</v>
      </c>
      <c r="E53" s="272">
        <f>G13+G14+G15</f>
        <v>0</v>
      </c>
      <c r="F53" s="110" t="s">
        <v>23</v>
      </c>
      <c r="G53" s="260"/>
      <c r="H53" s="110" t="s">
        <v>23</v>
      </c>
      <c r="I53" s="260"/>
      <c r="J53" s="110" t="s">
        <v>13</v>
      </c>
      <c r="K53" s="211">
        <f>SUM(C53*E53*G53*I53)</f>
        <v>0</v>
      </c>
      <c r="M53" s="277">
        <v>5.03029</v>
      </c>
    </row>
    <row r="54" spans="1:13" ht="12.75">
      <c r="A54" s="482"/>
      <c r="B54" s="114" t="s">
        <v>115</v>
      </c>
      <c r="C54" s="278">
        <f>M54*1.1</f>
        <v>5.5333190000000005</v>
      </c>
      <c r="D54" s="110" t="s">
        <v>23</v>
      </c>
      <c r="E54" s="272">
        <f>G10+G11+G12</f>
        <v>0</v>
      </c>
      <c r="F54" s="110" t="s">
        <v>23</v>
      </c>
      <c r="G54" s="260"/>
      <c r="H54" s="110" t="s">
        <v>23</v>
      </c>
      <c r="I54" s="260"/>
      <c r="J54" s="110" t="s">
        <v>13</v>
      </c>
      <c r="K54" s="211">
        <f>SUM(C54*E54*G54*I54)</f>
        <v>0</v>
      </c>
      <c r="M54" s="277">
        <v>5.03029</v>
      </c>
    </row>
    <row r="55" spans="1:13" ht="12.75">
      <c r="A55" s="483"/>
      <c r="B55" s="288" t="s">
        <v>116</v>
      </c>
      <c r="C55" s="289">
        <f>M55*1.1</f>
        <v>5.5333190000000005</v>
      </c>
      <c r="D55" s="285" t="s">
        <v>23</v>
      </c>
      <c r="E55" s="290">
        <f>G16+G17+G18</f>
        <v>0</v>
      </c>
      <c r="F55" s="285" t="s">
        <v>23</v>
      </c>
      <c r="G55" s="291"/>
      <c r="H55" s="285" t="s">
        <v>23</v>
      </c>
      <c r="I55" s="291"/>
      <c r="J55" s="285" t="s">
        <v>13</v>
      </c>
      <c r="K55" s="292">
        <f>SUM(C55*E55*G55*I55)</f>
        <v>0</v>
      </c>
      <c r="M55" s="277">
        <v>5.03029</v>
      </c>
    </row>
    <row r="56" spans="1:11" ht="12.75">
      <c r="A56" s="484"/>
      <c r="B56" s="485"/>
      <c r="C56" s="485"/>
      <c r="D56" s="485"/>
      <c r="E56" s="485"/>
      <c r="F56" s="485"/>
      <c r="G56" s="485"/>
      <c r="H56" s="485"/>
      <c r="I56" s="485"/>
      <c r="J56" s="485"/>
      <c r="K56" s="486"/>
    </row>
    <row r="57" spans="1:11" ht="12.75">
      <c r="A57" s="115"/>
      <c r="B57" s="1"/>
      <c r="C57" s="1"/>
      <c r="D57" s="110"/>
      <c r="E57" s="1"/>
      <c r="F57" s="110"/>
      <c r="G57" s="487" t="s">
        <v>117</v>
      </c>
      <c r="H57" s="487"/>
      <c r="I57" s="487"/>
      <c r="J57" s="110"/>
      <c r="K57" s="136"/>
    </row>
    <row r="58" spans="1:11" ht="12.75">
      <c r="A58" s="470" t="s">
        <v>168</v>
      </c>
      <c r="B58" s="464" t="s">
        <v>118</v>
      </c>
      <c r="C58" s="465"/>
      <c r="D58" s="116" t="s">
        <v>119</v>
      </c>
      <c r="E58" s="260"/>
      <c r="F58" s="116" t="s">
        <v>23</v>
      </c>
      <c r="G58" s="472"/>
      <c r="H58" s="472"/>
      <c r="I58" s="472"/>
      <c r="J58" s="116" t="s">
        <v>13</v>
      </c>
      <c r="K58" s="211">
        <f>SUM(E58*G58)</f>
        <v>0</v>
      </c>
    </row>
    <row r="59" spans="1:11" ht="12.75">
      <c r="A59" s="471"/>
      <c r="B59" s="473" t="s">
        <v>118</v>
      </c>
      <c r="C59" s="473"/>
      <c r="D59" s="110" t="s">
        <v>119</v>
      </c>
      <c r="E59" s="261"/>
      <c r="F59" s="110" t="s">
        <v>23</v>
      </c>
      <c r="G59" s="474"/>
      <c r="H59" s="474"/>
      <c r="I59" s="474"/>
      <c r="J59" s="110" t="s">
        <v>13</v>
      </c>
      <c r="K59" s="211">
        <f>SUM(E59*G59)</f>
        <v>0</v>
      </c>
    </row>
    <row r="60" spans="1:11" ht="12.75">
      <c r="A60" s="475"/>
      <c r="B60" s="476"/>
      <c r="C60" s="476"/>
      <c r="D60" s="476"/>
      <c r="E60" s="476"/>
      <c r="F60" s="476"/>
      <c r="G60" s="476"/>
      <c r="H60" s="476"/>
      <c r="I60" s="476"/>
      <c r="J60" s="476"/>
      <c r="K60" s="476"/>
    </row>
    <row r="61" spans="1:11" ht="12.75">
      <c r="A61" s="470" t="s">
        <v>148</v>
      </c>
      <c r="B61" s="464" t="s">
        <v>149</v>
      </c>
      <c r="C61" s="465"/>
      <c r="D61" s="116"/>
      <c r="E61" s="273" t="e">
        <f>COSTO!#REF!</f>
        <v>#REF!</v>
      </c>
      <c r="F61" s="116" t="s">
        <v>23</v>
      </c>
      <c r="G61" s="262"/>
      <c r="H61" s="116" t="s">
        <v>86</v>
      </c>
      <c r="I61" s="132" t="s">
        <v>145</v>
      </c>
      <c r="J61" s="116" t="s">
        <v>13</v>
      </c>
      <c r="K61" s="211" t="e">
        <f>SUM(E61*G61)</f>
        <v>#REF!</v>
      </c>
    </row>
    <row r="62" spans="1:11" ht="12.75">
      <c r="A62" s="477"/>
      <c r="B62" s="465" t="s">
        <v>149</v>
      </c>
      <c r="C62" s="465"/>
      <c r="D62" s="116"/>
      <c r="E62" s="273" t="e">
        <f>COSTO!#REF!</f>
        <v>#REF!</v>
      </c>
      <c r="F62" s="110" t="s">
        <v>23</v>
      </c>
      <c r="G62" s="262"/>
      <c r="H62" s="116" t="s">
        <v>86</v>
      </c>
      <c r="I62" s="132" t="s">
        <v>146</v>
      </c>
      <c r="J62" s="116" t="s">
        <v>13</v>
      </c>
      <c r="K62" s="211" t="e">
        <f>SUM(E62*G62)</f>
        <v>#REF!</v>
      </c>
    </row>
    <row r="63" spans="1:11" ht="12.75">
      <c r="A63" s="478"/>
      <c r="B63" s="465" t="s">
        <v>149</v>
      </c>
      <c r="C63" s="465"/>
      <c r="D63" s="116"/>
      <c r="E63" s="273" t="e">
        <f>COSTO!#REF!</f>
        <v>#REF!</v>
      </c>
      <c r="F63" s="110" t="s">
        <v>23</v>
      </c>
      <c r="G63" s="262"/>
      <c r="H63" s="116" t="s">
        <v>86</v>
      </c>
      <c r="I63" s="132" t="s">
        <v>147</v>
      </c>
      <c r="J63" s="116" t="s">
        <v>13</v>
      </c>
      <c r="K63" s="211" t="e">
        <f>SUM(E63*G63)</f>
        <v>#REF!</v>
      </c>
    </row>
    <row r="64" spans="1:11" ht="12.75">
      <c r="A64" s="458"/>
      <c r="B64" s="458"/>
      <c r="C64" s="458"/>
      <c r="D64" s="459"/>
      <c r="E64" s="458"/>
      <c r="F64" s="459"/>
      <c r="G64" s="458"/>
      <c r="H64" s="459"/>
      <c r="I64" s="458"/>
      <c r="J64" s="459"/>
      <c r="K64" s="458"/>
    </row>
    <row r="65" spans="1:11" ht="12.75">
      <c r="A65" s="113"/>
      <c r="B65" s="460" t="s">
        <v>313</v>
      </c>
      <c r="C65" s="461"/>
      <c r="D65" s="461"/>
      <c r="E65" s="461"/>
      <c r="F65" s="461"/>
      <c r="G65" s="461"/>
      <c r="H65" s="461"/>
      <c r="I65" s="462"/>
      <c r="J65" s="36"/>
      <c r="K65" s="137"/>
    </row>
    <row r="66" spans="1:11" ht="12.75">
      <c r="A66" s="458"/>
      <c r="B66" s="463"/>
      <c r="C66" s="463"/>
      <c r="D66" s="463"/>
      <c r="E66" s="463"/>
      <c r="F66" s="463"/>
      <c r="G66" s="463"/>
      <c r="H66" s="463"/>
      <c r="I66" s="463"/>
      <c r="J66" s="463"/>
      <c r="K66" s="463"/>
    </row>
    <row r="67" spans="1:11" ht="15.75">
      <c r="A67" s="464"/>
      <c r="B67" s="465"/>
      <c r="C67" s="465"/>
      <c r="D67" s="465"/>
      <c r="E67" s="466" t="s">
        <v>120</v>
      </c>
      <c r="F67" s="466"/>
      <c r="G67" s="466"/>
      <c r="H67" s="466"/>
      <c r="I67" s="467"/>
      <c r="J67" s="110" t="s">
        <v>13</v>
      </c>
      <c r="K67" s="138" t="e">
        <f>SUM((K4:K65))</f>
        <v>#REF!</v>
      </c>
    </row>
    <row r="68" spans="1:11" ht="12.75">
      <c r="A68" s="468"/>
      <c r="B68" s="468"/>
      <c r="C68" s="468"/>
      <c r="D68" s="468"/>
      <c r="E68" s="468"/>
      <c r="F68" s="468"/>
      <c r="G68" s="468"/>
      <c r="H68" s="468"/>
      <c r="I68" s="112" t="s">
        <v>121</v>
      </c>
      <c r="J68" s="36"/>
      <c r="K68" s="133" t="e">
        <f>SUM(K67*1936.27)</f>
        <v>#REF!</v>
      </c>
    </row>
    <row r="69" spans="3:11" ht="12.75">
      <c r="C69" s="469"/>
      <c r="D69" s="469"/>
      <c r="E69" s="469"/>
      <c r="F69" s="469"/>
      <c r="G69" s="469"/>
      <c r="H69" s="469"/>
      <c r="I69" s="469"/>
      <c r="J69" s="469"/>
      <c r="K69" s="469"/>
    </row>
    <row r="70" spans="2:11" ht="12.75">
      <c r="B70" s="117" t="s">
        <v>122</v>
      </c>
      <c r="C70" s="458" t="s">
        <v>123</v>
      </c>
      <c r="D70" s="458"/>
      <c r="E70" s="458"/>
      <c r="F70" s="458"/>
      <c r="G70" s="458"/>
      <c r="H70" s="458"/>
      <c r="I70" s="458"/>
      <c r="J70" s="458"/>
      <c r="K70" s="458"/>
    </row>
    <row r="71" spans="3:11" ht="12.75">
      <c r="C71" s="458" t="s">
        <v>124</v>
      </c>
      <c r="D71" s="458"/>
      <c r="E71" s="458"/>
      <c r="F71" s="458"/>
      <c r="G71" s="458"/>
      <c r="H71" s="458"/>
      <c r="I71" s="458"/>
      <c r="J71" s="458"/>
      <c r="K71" s="458"/>
    </row>
    <row r="72" spans="3:11" ht="12.75">
      <c r="C72" s="458" t="s">
        <v>125</v>
      </c>
      <c r="D72" s="458"/>
      <c r="E72" s="458"/>
      <c r="F72" s="458"/>
      <c r="G72" s="458"/>
      <c r="H72" s="458"/>
      <c r="I72" s="458"/>
      <c r="J72" s="458"/>
      <c r="K72" s="458"/>
    </row>
  </sheetData>
  <sheetProtection/>
  <mergeCells count="53">
    <mergeCell ref="A1:K1"/>
    <mergeCell ref="A3:A21"/>
    <mergeCell ref="B3:K3"/>
    <mergeCell ref="B4:B6"/>
    <mergeCell ref="B7:B9"/>
    <mergeCell ref="B10:B12"/>
    <mergeCell ref="B13:B15"/>
    <mergeCell ref="B16:B18"/>
    <mergeCell ref="B19:B21"/>
    <mergeCell ref="E48:G48"/>
    <mergeCell ref="B49:B50"/>
    <mergeCell ref="A22:K22"/>
    <mergeCell ref="A24:A42"/>
    <mergeCell ref="B25:B27"/>
    <mergeCell ref="B28:B30"/>
    <mergeCell ref="B31:B33"/>
    <mergeCell ref="B34:B36"/>
    <mergeCell ref="B37:B39"/>
    <mergeCell ref="B40:B42"/>
    <mergeCell ref="A56:K56"/>
    <mergeCell ref="G57:I57"/>
    <mergeCell ref="A43:K43"/>
    <mergeCell ref="E44:G44"/>
    <mergeCell ref="A45:A50"/>
    <mergeCell ref="B45:B46"/>
    <mergeCell ref="E45:G45"/>
    <mergeCell ref="E46:G46"/>
    <mergeCell ref="B47:B48"/>
    <mergeCell ref="E47:G47"/>
    <mergeCell ref="E49:G49"/>
    <mergeCell ref="E50:G50"/>
    <mergeCell ref="A51:K51"/>
    <mergeCell ref="A53:A55"/>
    <mergeCell ref="A60:K60"/>
    <mergeCell ref="B61:C61"/>
    <mergeCell ref="A61:A63"/>
    <mergeCell ref="B62:C62"/>
    <mergeCell ref="B63:C63"/>
    <mergeCell ref="A58:A59"/>
    <mergeCell ref="B58:C58"/>
    <mergeCell ref="G58:I58"/>
    <mergeCell ref="B59:C59"/>
    <mergeCell ref="G59:I59"/>
    <mergeCell ref="C72:K72"/>
    <mergeCell ref="A68:H68"/>
    <mergeCell ref="C69:K69"/>
    <mergeCell ref="C70:K70"/>
    <mergeCell ref="C71:K71"/>
    <mergeCell ref="A64:K64"/>
    <mergeCell ref="B65:I65"/>
    <mergeCell ref="A66:K66"/>
    <mergeCell ref="A67:D67"/>
    <mergeCell ref="E67:I67"/>
  </mergeCells>
  <printOptions gridLines="1"/>
  <pageMargins left="0.75" right="0.75" top="1" bottom="1" header="0.5" footer="0.5"/>
  <pageSetup fitToHeight="1" fitToWidth="1" horizontalDpi="600" verticalDpi="600" orientation="portrait" paperSize="9" scale="76" r:id="rId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1" sqref="F11"/>
    </sheetView>
  </sheetViews>
  <sheetFormatPr defaultColWidth="9.140625" defaultRowHeight="12.75"/>
  <cols>
    <col min="1" max="7" width="15.7109375" style="0" customWidth="1"/>
  </cols>
  <sheetData>
    <row r="1" ht="12.75">
      <c r="A1" t="s">
        <v>444</v>
      </c>
    </row>
    <row r="2" spans="1:5" ht="12.75">
      <c r="A2" s="396">
        <v>44776</v>
      </c>
      <c r="B2" s="398">
        <f>A2+61</f>
        <v>44837</v>
      </c>
      <c r="C2" s="398">
        <f>A2+184</f>
        <v>44960</v>
      </c>
      <c r="D2" s="398">
        <f>A2+365</f>
        <v>45141</v>
      </c>
      <c r="E2" s="398">
        <f>A2+549</f>
        <v>45325</v>
      </c>
    </row>
    <row r="3" spans="1:5" ht="12.75">
      <c r="A3" t="s">
        <v>445</v>
      </c>
      <c r="B3" t="s">
        <v>446</v>
      </c>
      <c r="C3" t="s">
        <v>447</v>
      </c>
      <c r="D3" t="s">
        <v>448</v>
      </c>
      <c r="E3" t="s">
        <v>449</v>
      </c>
    </row>
    <row r="4" spans="1:8" ht="12.75">
      <c r="A4" s="397" t="e">
        <f>'DISTINTA ONERI'!K67</f>
        <v>#REF!</v>
      </c>
      <c r="B4" s="30" t="e">
        <f>A4/2</f>
        <v>#REF!</v>
      </c>
      <c r="C4" s="30" t="e">
        <f>A4/6</f>
        <v>#REF!</v>
      </c>
      <c r="D4" s="30" t="e">
        <f>A4/6</f>
        <v>#REF!</v>
      </c>
      <c r="E4" s="30" t="e">
        <f>A4/6</f>
        <v>#REF!</v>
      </c>
      <c r="G4" s="30" t="e">
        <f>SUM(B4:E4)</f>
        <v>#REF!</v>
      </c>
      <c r="H4">
        <v>0.01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J37"/>
  <sheetViews>
    <sheetView tabSelected="1" zoomScale="150" zoomScaleNormal="150" zoomScalePageLayoutView="0" workbookViewId="0" topLeftCell="A13">
      <selection activeCell="B31" sqref="B31"/>
    </sheetView>
  </sheetViews>
  <sheetFormatPr defaultColWidth="8.8515625" defaultRowHeight="12.75"/>
  <cols>
    <col min="1" max="1" width="46.140625" style="0" customWidth="1"/>
    <col min="2" max="2" width="13.8515625" style="103" customWidth="1"/>
    <col min="3" max="3" width="14.00390625" style="38" customWidth="1"/>
    <col min="4" max="4" width="13.421875" style="39" customWidth="1"/>
    <col min="5" max="5" width="9.28125" style="40" customWidth="1"/>
    <col min="6" max="6" width="14.421875" style="38" customWidth="1"/>
    <col min="7" max="7" width="10.421875" style="0" bestFit="1" customWidth="1"/>
    <col min="8" max="10" width="20.7109375" style="376" customWidth="1"/>
  </cols>
  <sheetData>
    <row r="1" spans="1:10" s="102" customFormat="1" ht="45.75" customHeight="1">
      <c r="A1" s="354" t="s">
        <v>381</v>
      </c>
      <c r="B1" s="362" t="s">
        <v>450</v>
      </c>
      <c r="C1" s="355"/>
      <c r="D1" s="356">
        <f>1046.9*1.007</f>
        <v>1054.2283</v>
      </c>
      <c r="E1" s="509" t="s">
        <v>452</v>
      </c>
      <c r="F1" s="509"/>
      <c r="G1" s="509"/>
      <c r="H1" s="374"/>
      <c r="I1" s="374"/>
      <c r="J1" s="374"/>
    </row>
    <row r="2" spans="1:10" s="96" customFormat="1" ht="51" customHeight="1">
      <c r="A2" s="104" t="s">
        <v>311</v>
      </c>
      <c r="B2" s="102" t="s">
        <v>88</v>
      </c>
      <c r="C2" s="97" t="s">
        <v>30</v>
      </c>
      <c r="D2" s="98" t="s">
        <v>310</v>
      </c>
      <c r="E2" s="99" t="s">
        <v>29</v>
      </c>
      <c r="F2" s="98" t="s">
        <v>80</v>
      </c>
      <c r="H2" s="375"/>
      <c r="I2" s="375"/>
      <c r="J2" s="375"/>
    </row>
    <row r="3" spans="1:6" ht="12.75">
      <c r="A3" s="121" t="s">
        <v>309</v>
      </c>
      <c r="B3" s="103">
        <f>D1/C3</f>
        <v>878.5235833333334</v>
      </c>
      <c r="C3" s="38">
        <v>1.2</v>
      </c>
      <c r="D3" s="281">
        <f>B3*C3</f>
        <v>1054.2283</v>
      </c>
      <c r="E3" s="40">
        <v>0</v>
      </c>
      <c r="F3" s="281">
        <f>SUM(D3*1)</f>
        <v>1054.2283</v>
      </c>
    </row>
    <row r="4" spans="1:6" ht="12.75">
      <c r="A4" s="121"/>
      <c r="B4" s="147"/>
      <c r="D4" s="281"/>
      <c r="F4" s="282"/>
    </row>
    <row r="5" spans="1:6" ht="12.75">
      <c r="A5" s="121" t="s">
        <v>81</v>
      </c>
      <c r="B5" s="103">
        <f>B3</f>
        <v>878.5235833333334</v>
      </c>
      <c r="C5" s="38">
        <f>0.9*1.2</f>
        <v>1.08</v>
      </c>
      <c r="D5" s="281">
        <f>B5*C5</f>
        <v>948.8054700000001</v>
      </c>
      <c r="E5" s="40">
        <v>0.5</v>
      </c>
      <c r="F5" s="281">
        <f>SUM(D5*E5)</f>
        <v>474.40273500000006</v>
      </c>
    </row>
    <row r="6" spans="1:6" ht="12.75">
      <c r="A6" s="121" t="s">
        <v>82</v>
      </c>
      <c r="B6" s="103">
        <f>B3</f>
        <v>878.5235833333334</v>
      </c>
      <c r="C6" s="38">
        <f>0.8*1.2</f>
        <v>0.96</v>
      </c>
      <c r="D6" s="281">
        <f>B6*C6</f>
        <v>843.38264</v>
      </c>
      <c r="E6" s="40">
        <v>0.5</v>
      </c>
      <c r="F6" s="281">
        <f>SUM(D6*E6)</f>
        <v>421.69132</v>
      </c>
    </row>
    <row r="7" spans="1:6" ht="12.75">
      <c r="A7" s="121" t="s">
        <v>83</v>
      </c>
      <c r="B7" s="103">
        <f>B3</f>
        <v>878.5235833333334</v>
      </c>
      <c r="C7" s="38">
        <v>1.2</v>
      </c>
      <c r="D7" s="281">
        <f>B7*C7</f>
        <v>1054.2283</v>
      </c>
      <c r="E7" s="40">
        <v>0.5</v>
      </c>
      <c r="F7" s="281">
        <f>SUM(D7*E7)</f>
        <v>527.11415</v>
      </c>
    </row>
    <row r="9" ht="13.5" thickBot="1"/>
    <row r="10" spans="1:6" ht="13.5" thickBot="1">
      <c r="A10" s="240" t="s">
        <v>138</v>
      </c>
      <c r="B10" s="241" t="s">
        <v>131</v>
      </c>
      <c r="D10" s="123" t="s">
        <v>128</v>
      </c>
      <c r="E10" s="122" t="s">
        <v>129</v>
      </c>
      <c r="F10" s="39"/>
    </row>
    <row r="11" spans="1:6" ht="12.75">
      <c r="A11" s="235" t="s">
        <v>130</v>
      </c>
      <c r="B11" s="236">
        <v>0.2</v>
      </c>
      <c r="D11" s="120">
        <v>1</v>
      </c>
      <c r="E11" s="128">
        <v>0</v>
      </c>
      <c r="F11" s="283">
        <f>SUM(D3*1)</f>
        <v>1054.2283</v>
      </c>
    </row>
    <row r="12" spans="1:6" ht="12.75">
      <c r="A12" s="235" t="s">
        <v>132</v>
      </c>
      <c r="B12" s="236">
        <v>0.17</v>
      </c>
      <c r="D12" s="120">
        <f>SUM(D11+1)</f>
        <v>2</v>
      </c>
      <c r="E12" s="128">
        <v>0.05</v>
      </c>
      <c r="F12" s="283">
        <f>SUM(F11*1.05)</f>
        <v>1106.939715</v>
      </c>
    </row>
    <row r="13" spans="1:6" ht="12.75">
      <c r="A13" s="235" t="s">
        <v>133</v>
      </c>
      <c r="B13" s="236">
        <v>0.16</v>
      </c>
      <c r="D13" s="120">
        <f aca="true" t="shared" si="0" ref="D13:D21">SUM(D12+1)</f>
        <v>3</v>
      </c>
      <c r="E13" s="128">
        <v>0.1</v>
      </c>
      <c r="F13" s="283">
        <f>SUM(F11*1.1)</f>
        <v>1159.6511300000002</v>
      </c>
    </row>
    <row r="14" spans="1:6" ht="12.75">
      <c r="A14" s="235" t="s">
        <v>134</v>
      </c>
      <c r="B14" s="236">
        <v>0.136</v>
      </c>
      <c r="D14" s="120">
        <f t="shared" si="0"/>
        <v>4</v>
      </c>
      <c r="E14" s="128">
        <v>0.15</v>
      </c>
      <c r="F14" s="283">
        <f>SUM(F11*1.15)</f>
        <v>1212.362545</v>
      </c>
    </row>
    <row r="15" spans="1:6" ht="12.75">
      <c r="A15" s="235" t="s">
        <v>135</v>
      </c>
      <c r="B15" s="236">
        <v>0.12</v>
      </c>
      <c r="D15" s="120">
        <f t="shared" si="0"/>
        <v>5</v>
      </c>
      <c r="E15" s="128">
        <v>0.2</v>
      </c>
      <c r="F15" s="283">
        <f>SUM(F11*1.2)</f>
        <v>1265.07396</v>
      </c>
    </row>
    <row r="16" spans="1:6" ht="12.75">
      <c r="A16" s="237" t="s">
        <v>136</v>
      </c>
      <c r="B16" s="238">
        <v>0.102</v>
      </c>
      <c r="D16" s="120">
        <f t="shared" si="0"/>
        <v>6</v>
      </c>
      <c r="E16" s="128">
        <v>0.25</v>
      </c>
      <c r="F16" s="283">
        <f>SUM(F11*1.25)</f>
        <v>1317.785375</v>
      </c>
    </row>
    <row r="17" spans="1:6" ht="12.75">
      <c r="A17" s="233" t="s">
        <v>137</v>
      </c>
      <c r="B17" s="234">
        <v>0.081</v>
      </c>
      <c r="D17" s="120">
        <f t="shared" si="0"/>
        <v>7</v>
      </c>
      <c r="E17" s="128">
        <v>0.3</v>
      </c>
      <c r="F17" s="283">
        <f>SUM(F11*1.3)</f>
        <v>1370.4967900000001</v>
      </c>
    </row>
    <row r="18" spans="1:6" ht="12.75">
      <c r="A18" s="235" t="s">
        <v>139</v>
      </c>
      <c r="B18" s="236">
        <v>0.072</v>
      </c>
      <c r="D18" s="120">
        <f t="shared" si="0"/>
        <v>8</v>
      </c>
      <c r="E18" s="128">
        <v>0.35</v>
      </c>
      <c r="F18" s="283">
        <f>SUM(F11*1.35)</f>
        <v>1423.2082050000001</v>
      </c>
    </row>
    <row r="19" spans="1:6" ht="12.75">
      <c r="A19" s="235" t="s">
        <v>140</v>
      </c>
      <c r="B19" s="236">
        <v>0.0675</v>
      </c>
      <c r="D19" s="120">
        <f t="shared" si="0"/>
        <v>9</v>
      </c>
      <c r="E19" s="128">
        <v>0.4</v>
      </c>
      <c r="F19" s="283">
        <f>SUM(F11*1.4)</f>
        <v>1475.91962</v>
      </c>
    </row>
    <row r="20" spans="1:6" ht="12.75">
      <c r="A20" s="235" t="s">
        <v>141</v>
      </c>
      <c r="B20" s="236">
        <v>0.06</v>
      </c>
      <c r="D20" s="120">
        <f t="shared" si="0"/>
        <v>10</v>
      </c>
      <c r="E20" s="128">
        <v>0.45</v>
      </c>
      <c r="F20" s="283">
        <f>SUM(F11*1.45)</f>
        <v>1528.6310349999999</v>
      </c>
    </row>
    <row r="21" spans="1:6" ht="12.75">
      <c r="A21" s="235" t="s">
        <v>142</v>
      </c>
      <c r="B21" s="236">
        <v>0.0565</v>
      </c>
      <c r="D21" s="120">
        <f t="shared" si="0"/>
        <v>11</v>
      </c>
      <c r="E21" s="128">
        <v>0.5</v>
      </c>
      <c r="F21" s="283">
        <f>SUM(F11*1.5)</f>
        <v>1581.34245</v>
      </c>
    </row>
    <row r="22" spans="1:2" ht="12.75">
      <c r="A22" s="237" t="s">
        <v>143</v>
      </c>
      <c r="B22" s="238">
        <v>0.05</v>
      </c>
    </row>
    <row r="25" spans="1:7" ht="12.75">
      <c r="A25" s="122" t="s">
        <v>144</v>
      </c>
      <c r="E25"/>
      <c r="G25" s="38"/>
    </row>
    <row r="26" spans="2:7" ht="12.75">
      <c r="B26" s="103" t="s">
        <v>145</v>
      </c>
      <c r="C26" s="127" t="s">
        <v>146</v>
      </c>
      <c r="D26" s="127" t="s">
        <v>147</v>
      </c>
      <c r="E26"/>
      <c r="G26" s="38"/>
    </row>
    <row r="27" spans="1:7" ht="12.75">
      <c r="A27" s="361"/>
      <c r="B27" s="394">
        <v>314.95433</v>
      </c>
      <c r="C27" s="394">
        <v>157.82471</v>
      </c>
      <c r="D27" s="394">
        <v>118.07193</v>
      </c>
      <c r="E27"/>
      <c r="F27" s="395" t="s">
        <v>451</v>
      </c>
      <c r="G27" s="38"/>
    </row>
    <row r="28" spans="2:7" ht="12.75">
      <c r="B28" s="38"/>
      <c r="D28" s="38"/>
      <c r="E28"/>
      <c r="G28" s="38"/>
    </row>
    <row r="29" spans="1:7" ht="12.75">
      <c r="A29" s="122"/>
      <c r="B29" s="418"/>
      <c r="C29" s="418"/>
      <c r="D29" s="418"/>
      <c r="E29"/>
      <c r="G29" s="38"/>
    </row>
    <row r="30" spans="1:7" ht="12.75">
      <c r="A30" t="s">
        <v>306</v>
      </c>
      <c r="B30" s="103" t="s">
        <v>307</v>
      </c>
      <c r="C30" s="274" t="s">
        <v>308</v>
      </c>
      <c r="E30"/>
      <c r="G30" s="38"/>
    </row>
    <row r="31" spans="1:6" ht="12.75">
      <c r="A31" s="361"/>
      <c r="B31" s="394">
        <v>69.84604</v>
      </c>
      <c r="C31" s="394">
        <v>106.57873</v>
      </c>
      <c r="D31"/>
      <c r="E31"/>
      <c r="F31" s="395" t="s">
        <v>451</v>
      </c>
    </row>
    <row r="32" spans="1:6" ht="12.75">
      <c r="A32" s="361"/>
      <c r="B32" s="359"/>
      <c r="C32" s="359"/>
      <c r="D32"/>
      <c r="E32"/>
      <c r="F32"/>
    </row>
    <row r="33" spans="2:3" ht="12.75">
      <c r="B33"/>
      <c r="C33" s="194"/>
    </row>
    <row r="34" spans="2:3" ht="12.75">
      <c r="B34"/>
      <c r="C34" s="194"/>
    </row>
    <row r="35" spans="2:3" ht="12.75">
      <c r="B35"/>
      <c r="C35" s="194"/>
    </row>
    <row r="36" spans="2:3" ht="12.75">
      <c r="B36"/>
      <c r="C36" s="194"/>
    </row>
    <row r="37" spans="2:3" ht="12.75">
      <c r="B37"/>
      <c r="C37" s="194"/>
    </row>
  </sheetData>
  <sheetProtection/>
  <mergeCells count="1">
    <mergeCell ref="E1:G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&amp;L&amp;"Arial,Grassetto"COMUNE DI CARPI&amp;"Arial,Normale"
Servizio Edilizia Privata
&amp;C&amp;A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71"/>
  <sheetViews>
    <sheetView zoomScalePageLayoutView="0" workbookViewId="0" topLeftCell="A16">
      <selection activeCell="E32" sqref="E32:F32"/>
    </sheetView>
  </sheetViews>
  <sheetFormatPr defaultColWidth="8.8515625" defaultRowHeight="12.75"/>
  <cols>
    <col min="1" max="1" width="12.7109375" style="56" customWidth="1"/>
    <col min="2" max="2" width="11.8515625" style="56" customWidth="1"/>
    <col min="3" max="3" width="13.421875" style="56" customWidth="1"/>
    <col min="4" max="4" width="17.28125" style="56" customWidth="1"/>
    <col min="5" max="5" width="14.00390625" style="56" customWidth="1"/>
    <col min="6" max="6" width="16.140625" style="56" customWidth="1"/>
    <col min="7" max="7" width="13.8515625" style="56" customWidth="1"/>
  </cols>
  <sheetData>
    <row r="1" spans="1:7" s="29" customFormat="1" ht="24.75" customHeight="1">
      <c r="A1" s="542" t="s">
        <v>31</v>
      </c>
      <c r="B1" s="543"/>
      <c r="C1" s="543"/>
      <c r="D1" s="543"/>
      <c r="E1" s="543"/>
      <c r="F1" s="543"/>
      <c r="G1" s="544"/>
    </row>
    <row r="2" spans="1:7" ht="36">
      <c r="A2" s="41" t="s">
        <v>32</v>
      </c>
      <c r="B2" s="41" t="s">
        <v>33</v>
      </c>
      <c r="C2" s="41" t="s">
        <v>34</v>
      </c>
      <c r="D2" s="41" t="s">
        <v>35</v>
      </c>
      <c r="E2" s="42" t="s">
        <v>36</v>
      </c>
      <c r="F2" s="42" t="s">
        <v>37</v>
      </c>
      <c r="G2" s="43"/>
    </row>
    <row r="3" spans="1:7" ht="12.75">
      <c r="A3" s="44"/>
      <c r="B3" s="45"/>
      <c r="C3" s="45"/>
      <c r="D3" s="45"/>
      <c r="E3" s="45"/>
      <c r="F3" s="45"/>
      <c r="G3" s="46"/>
    </row>
    <row r="4" spans="1:7" ht="15" customHeight="1">
      <c r="A4" s="47" t="s">
        <v>38</v>
      </c>
      <c r="B4" s="48"/>
      <c r="C4" s="130">
        <f>SUM(Superfici!$O$4:$O$43)</f>
        <v>0</v>
      </c>
      <c r="D4" s="49">
        <f>IF(C9=0,0,C4/C9)</f>
        <v>0</v>
      </c>
      <c r="E4" s="50">
        <v>0</v>
      </c>
      <c r="F4" s="125">
        <f>E4*D4</f>
        <v>0</v>
      </c>
      <c r="G4" s="46"/>
    </row>
    <row r="5" spans="1:7" ht="15" customHeight="1">
      <c r="A5" s="51" t="s">
        <v>39</v>
      </c>
      <c r="B5" s="48"/>
      <c r="C5" s="130">
        <f>SUM(Superfici!$P$4:$P$43)</f>
        <v>0</v>
      </c>
      <c r="D5" s="49">
        <f>IF(C9=0,0,C5/C9)</f>
        <v>0</v>
      </c>
      <c r="E5" s="50">
        <v>0.05</v>
      </c>
      <c r="F5" s="125">
        <f>E5*D5</f>
        <v>0</v>
      </c>
      <c r="G5" s="46"/>
    </row>
    <row r="6" spans="1:7" ht="15" customHeight="1">
      <c r="A6" s="51" t="s">
        <v>40</v>
      </c>
      <c r="B6" s="48"/>
      <c r="C6" s="130">
        <f>SUM(Superfici!$Q$4:$Q$43)</f>
        <v>0</v>
      </c>
      <c r="D6" s="49">
        <f>IF(C9=0,0,C6/C9)</f>
        <v>0</v>
      </c>
      <c r="E6" s="50">
        <v>0.15</v>
      </c>
      <c r="F6" s="125">
        <f>E6*D6</f>
        <v>0</v>
      </c>
      <c r="G6" s="46"/>
    </row>
    <row r="7" spans="1:7" ht="15" customHeight="1">
      <c r="A7" s="51" t="s">
        <v>41</v>
      </c>
      <c r="B7" s="48"/>
      <c r="C7" s="130">
        <f>SUM(Superfici!$R$4:$R$43)</f>
        <v>0</v>
      </c>
      <c r="D7" s="49">
        <f>IF(C9=0,0,C7/C9)</f>
        <v>0</v>
      </c>
      <c r="E7" s="50">
        <v>0.3</v>
      </c>
      <c r="F7" s="125">
        <f>E7*D7</f>
        <v>0</v>
      </c>
      <c r="G7" s="46"/>
    </row>
    <row r="8" spans="1:7" ht="15" customHeight="1">
      <c r="A8" s="51" t="s">
        <v>42</v>
      </c>
      <c r="B8" s="48"/>
      <c r="C8" s="130">
        <f>SUM(Superfici!$S$4:$S$43)</f>
        <v>0</v>
      </c>
      <c r="D8" s="49">
        <f>IF(C9=0,0,C8/C9)</f>
        <v>0</v>
      </c>
      <c r="E8" s="50">
        <v>0.5</v>
      </c>
      <c r="F8" s="125">
        <f>E8*D8</f>
        <v>0</v>
      </c>
      <c r="G8" s="46"/>
    </row>
    <row r="9" spans="1:7" ht="15" customHeight="1">
      <c r="A9" s="52"/>
      <c r="B9" s="53" t="s">
        <v>43</v>
      </c>
      <c r="C9" s="130">
        <f>SUM(C4:C8)</f>
        <v>0</v>
      </c>
      <c r="D9" s="54"/>
      <c r="E9" s="54"/>
      <c r="F9" s="55" t="s">
        <v>44</v>
      </c>
      <c r="G9" s="125">
        <f>SUM(F4:F8)</f>
        <v>0</v>
      </c>
    </row>
    <row r="11" spans="1:7" ht="12.75">
      <c r="A11" s="545" t="s">
        <v>45</v>
      </c>
      <c r="B11" s="546"/>
      <c r="C11" s="546"/>
      <c r="D11" s="546"/>
      <c r="E11" s="546"/>
      <c r="F11" s="546"/>
      <c r="G11" s="547"/>
    </row>
    <row r="12" spans="1:7" ht="15" customHeight="1">
      <c r="A12" s="57" t="s">
        <v>46</v>
      </c>
      <c r="B12" s="548">
        <f>C9</f>
        <v>0</v>
      </c>
      <c r="C12" s="548"/>
      <c r="D12" s="549" t="s">
        <v>47</v>
      </c>
      <c r="E12" s="549" t="s">
        <v>48</v>
      </c>
      <c r="F12" s="549" t="s">
        <v>49</v>
      </c>
      <c r="G12" s="46"/>
    </row>
    <row r="13" spans="1:7" ht="15" customHeight="1">
      <c r="A13" s="57" t="s">
        <v>50</v>
      </c>
      <c r="B13" s="551">
        <f>SUM(Superfici!T4:T43)</f>
        <v>0</v>
      </c>
      <c r="C13" s="551"/>
      <c r="D13" s="550"/>
      <c r="E13" s="550"/>
      <c r="F13" s="550"/>
      <c r="G13" s="46"/>
    </row>
    <row r="14" spans="1:7" ht="15" customHeight="1">
      <c r="A14" s="57" t="s">
        <v>51</v>
      </c>
      <c r="B14" s="552">
        <f>IF(B12=0,0,B13/B12)</f>
        <v>0</v>
      </c>
      <c r="C14" s="552"/>
      <c r="D14" s="550"/>
      <c r="E14" s="550"/>
      <c r="F14" s="550"/>
      <c r="G14" s="46"/>
    </row>
    <row r="15" spans="1:7" ht="15" customHeight="1">
      <c r="A15" s="58"/>
      <c r="B15" s="59"/>
      <c r="C15" s="59"/>
      <c r="D15" s="60" t="s">
        <v>52</v>
      </c>
      <c r="E15" s="61">
        <f>IF(B14&lt;=0.5,1,0)</f>
        <v>1</v>
      </c>
      <c r="F15" s="62">
        <v>0</v>
      </c>
      <c r="G15" s="63"/>
    </row>
    <row r="16" spans="1:7" ht="15" customHeight="1">
      <c r="A16" s="58"/>
      <c r="B16" s="59"/>
      <c r="C16" s="59"/>
      <c r="D16" s="64" t="s">
        <v>53</v>
      </c>
      <c r="E16" s="61">
        <f>IF(B14&lt;=0.75,1,0)*IF(B14&gt;0.5,1,0)</f>
        <v>0</v>
      </c>
      <c r="F16" s="62">
        <v>0.1</v>
      </c>
      <c r="G16" s="63"/>
    </row>
    <row r="17" spans="1:7" ht="15" customHeight="1">
      <c r="A17" s="58"/>
      <c r="B17" s="59"/>
      <c r="C17" s="59"/>
      <c r="D17" s="64" t="s">
        <v>54</v>
      </c>
      <c r="E17" s="61">
        <f>IF(B14&lt;=1,1,0)*IF(B14&gt;0.75,1,0)</f>
        <v>0</v>
      </c>
      <c r="F17" s="62">
        <v>0.2</v>
      </c>
      <c r="G17" s="63"/>
    </row>
    <row r="18" spans="1:7" ht="15" customHeight="1">
      <c r="A18" s="58"/>
      <c r="B18" s="59"/>
      <c r="C18" s="59"/>
      <c r="D18" s="64" t="s">
        <v>55</v>
      </c>
      <c r="E18" s="61">
        <f>IF(B14&gt;1,1,0)</f>
        <v>0</v>
      </c>
      <c r="F18" s="62">
        <v>0.3</v>
      </c>
      <c r="G18" s="63"/>
    </row>
    <row r="19" spans="1:7" ht="15" customHeight="1">
      <c r="A19" s="52"/>
      <c r="B19" s="54"/>
      <c r="C19" s="54"/>
      <c r="D19" s="54"/>
      <c r="E19" s="54"/>
      <c r="F19" s="55" t="s">
        <v>56</v>
      </c>
      <c r="G19" s="125">
        <f>E15*F15+F16*E16+E17*F17+F18*E18</f>
        <v>0</v>
      </c>
    </row>
    <row r="21" spans="1:7" ht="30" customHeight="1">
      <c r="A21" s="65"/>
      <c r="B21" s="66"/>
      <c r="C21" s="67" t="s">
        <v>57</v>
      </c>
      <c r="D21" s="126">
        <f>G9+G19-0.00001</f>
        <v>-1E-05</v>
      </c>
      <c r="E21" s="553" t="s">
        <v>58</v>
      </c>
      <c r="F21" s="553"/>
      <c r="G21" s="124">
        <f>IF(D21=-0.00001,0,FLOOR(D21*100,5))</f>
        <v>0</v>
      </c>
    </row>
    <row r="23" spans="1:7" ht="12.75">
      <c r="A23" s="45"/>
      <c r="B23" s="45"/>
      <c r="C23" s="45"/>
      <c r="D23" s="45"/>
      <c r="E23" s="45"/>
      <c r="F23" s="45"/>
      <c r="G23" s="45"/>
    </row>
    <row r="24" spans="1:7" ht="12.75">
      <c r="A24" s="523" t="s">
        <v>59</v>
      </c>
      <c r="B24" s="523"/>
      <c r="C24" s="523"/>
      <c r="D24" s="129">
        <f>B12</f>
        <v>0</v>
      </c>
      <c r="E24" s="524"/>
      <c r="F24" s="524"/>
      <c r="G24" s="524"/>
    </row>
    <row r="25" spans="1:7" ht="12.75">
      <c r="A25" s="70"/>
      <c r="B25" s="70"/>
      <c r="C25" s="70"/>
      <c r="D25" s="45"/>
      <c r="E25" s="524"/>
      <c r="F25" s="524"/>
      <c r="G25" s="524"/>
    </row>
    <row r="26" spans="1:7" ht="12.75">
      <c r="A26" s="523" t="s">
        <v>60</v>
      </c>
      <c r="B26" s="523"/>
      <c r="C26" s="523"/>
      <c r="D26" s="129">
        <f>B13</f>
        <v>0</v>
      </c>
      <c r="E26" s="554"/>
      <c r="F26" s="554"/>
      <c r="G26" s="554"/>
    </row>
    <row r="27" spans="1:7" ht="12.75">
      <c r="A27" s="71"/>
      <c r="B27" s="71"/>
      <c r="C27" s="72"/>
      <c r="D27" s="73"/>
      <c r="E27" s="74"/>
      <c r="F27" s="74"/>
      <c r="G27" s="75"/>
    </row>
    <row r="28" spans="1:7" ht="12.75">
      <c r="A28" s="523" t="s">
        <v>61</v>
      </c>
      <c r="B28" s="523"/>
      <c r="C28" s="523"/>
      <c r="D28" s="129">
        <f>D24+0.6*D26</f>
        <v>0</v>
      </c>
      <c r="E28" s="524" t="s">
        <v>90</v>
      </c>
      <c r="F28" s="524"/>
      <c r="G28" s="524"/>
    </row>
    <row r="29" spans="1:7" ht="12.75">
      <c r="A29" s="68"/>
      <c r="B29" s="68"/>
      <c r="C29" s="68"/>
      <c r="D29" s="76"/>
      <c r="E29" s="69"/>
      <c r="F29" s="69"/>
      <c r="G29" s="69"/>
    </row>
    <row r="30" spans="1:7" ht="12.75">
      <c r="A30" s="523" t="s">
        <v>62</v>
      </c>
      <c r="B30" s="523"/>
      <c r="C30" s="523"/>
      <c r="D30" s="77">
        <f>IF(COSTO!D3*(1+G21/100)&gt;COSTO!F21,COSTO!F21,COSTO!D3*(1+G21/100))</f>
        <v>1054.2283</v>
      </c>
      <c r="E30" s="524" t="s">
        <v>63</v>
      </c>
      <c r="F30" s="524"/>
      <c r="G30" s="524"/>
    </row>
    <row r="31" spans="1:7" ht="12.75">
      <c r="A31" s="68"/>
      <c r="B31" s="68"/>
      <c r="C31" s="68"/>
      <c r="D31" s="76"/>
      <c r="E31" s="78"/>
      <c r="F31" s="78"/>
      <c r="G31" s="78"/>
    </row>
    <row r="32" spans="1:10" ht="24.75" customHeight="1">
      <c r="A32" s="523" t="s">
        <v>64</v>
      </c>
      <c r="B32" s="523"/>
      <c r="C32" s="523"/>
      <c r="D32" s="239">
        <f>IF(E32&lt;&gt;"",VLOOKUP(E32,COSTO!A11:B22,2,FALSE()),0)</f>
        <v>0</v>
      </c>
      <c r="E32" s="528"/>
      <c r="F32" s="529"/>
      <c r="G32" s="247" t="s">
        <v>290</v>
      </c>
      <c r="H32" s="96"/>
      <c r="I32" s="69"/>
      <c r="J32" s="69"/>
    </row>
    <row r="33" spans="1:7" ht="12.75">
      <c r="A33" s="68"/>
      <c r="B33" s="68"/>
      <c r="C33" s="68"/>
      <c r="D33" s="76"/>
      <c r="E33" s="78"/>
      <c r="F33" s="78"/>
      <c r="G33" s="78"/>
    </row>
    <row r="34" spans="1:7" ht="12.75">
      <c r="A34" s="525" t="s">
        <v>65</v>
      </c>
      <c r="B34" s="526"/>
      <c r="C34" s="526"/>
      <c r="D34" s="526"/>
      <c r="E34" s="526"/>
      <c r="F34" s="526"/>
      <c r="G34" s="527"/>
    </row>
    <row r="35" spans="1:7" ht="15" customHeight="1">
      <c r="A35" s="530" t="s">
        <v>66</v>
      </c>
      <c r="B35" s="523"/>
      <c r="C35" s="523"/>
      <c r="D35" s="269">
        <f>SUM(Superfici!W4:W43)</f>
        <v>0</v>
      </c>
      <c r="E35" s="531" t="s">
        <v>89</v>
      </c>
      <c r="F35" s="532"/>
      <c r="G35" s="533"/>
    </row>
    <row r="36" spans="1:7" ht="15" customHeight="1">
      <c r="A36" s="530" t="s">
        <v>67</v>
      </c>
      <c r="B36" s="523"/>
      <c r="C36" s="523"/>
      <c r="D36" s="269">
        <f>SUM(Superfici!V4:V43)</f>
        <v>0</v>
      </c>
      <c r="E36" s="534"/>
      <c r="F36" s="535"/>
      <c r="G36" s="536"/>
    </row>
    <row r="37" spans="1:7" ht="15" customHeight="1">
      <c r="A37" s="540" t="s">
        <v>68</v>
      </c>
      <c r="B37" s="541"/>
      <c r="C37" s="541"/>
      <c r="D37" s="269">
        <f>SUM(Superfici!U4:U43)</f>
        <v>0</v>
      </c>
      <c r="E37" s="537"/>
      <c r="F37" s="538"/>
      <c r="G37" s="539"/>
    </row>
    <row r="38" spans="1:7" ht="13.5" thickBot="1">
      <c r="A38" s="79"/>
      <c r="B38" s="79"/>
      <c r="C38" s="80"/>
      <c r="D38" s="76"/>
      <c r="E38" s="76"/>
      <c r="F38" s="76"/>
      <c r="G38" s="59"/>
    </row>
    <row r="39" spans="1:7" ht="15">
      <c r="A39" s="510" t="s">
        <v>16</v>
      </c>
      <c r="B39" s="511"/>
      <c r="C39" s="511"/>
      <c r="D39" s="511"/>
      <c r="E39" s="511"/>
      <c r="F39" s="511"/>
      <c r="G39" s="512"/>
    </row>
    <row r="40" spans="1:7" ht="12.75">
      <c r="A40" s="81"/>
      <c r="B40" s="82"/>
      <c r="C40" s="83" t="s">
        <v>69</v>
      </c>
      <c r="D40" s="83" t="s">
        <v>18</v>
      </c>
      <c r="E40" s="83" t="s">
        <v>19</v>
      </c>
      <c r="F40" s="513" t="s">
        <v>21</v>
      </c>
      <c r="G40" s="514"/>
    </row>
    <row r="41" spans="1:7" ht="15.75">
      <c r="A41" s="515" t="s">
        <v>70</v>
      </c>
      <c r="B41" s="516"/>
      <c r="C41" s="84">
        <f>D30</f>
        <v>1054.2283</v>
      </c>
      <c r="D41" s="131">
        <f>IF((D35+D36+D37)&gt;D24*0.25,D28,D28+D35+D36+D37)</f>
        <v>0</v>
      </c>
      <c r="E41" s="85">
        <f>SUM(D32*1)</f>
        <v>0</v>
      </c>
      <c r="F41" s="86" t="s">
        <v>13</v>
      </c>
      <c r="G41" s="87">
        <f>C41*D41*E41</f>
        <v>0</v>
      </c>
    </row>
    <row r="42" spans="1:7" ht="15.75">
      <c r="A42" s="515" t="s">
        <v>71</v>
      </c>
      <c r="B42" s="516"/>
      <c r="C42" s="84">
        <f>COSTO!D7</f>
        <v>1054.2283</v>
      </c>
      <c r="D42" s="131">
        <f>IF((D35+D36+D37)&gt;D24*0.25,D35,0)</f>
        <v>0</v>
      </c>
      <c r="E42" s="85">
        <v>0.1</v>
      </c>
      <c r="F42" s="86" t="s">
        <v>13</v>
      </c>
      <c r="G42" s="87">
        <f>C42*D42*E42</f>
        <v>0</v>
      </c>
    </row>
    <row r="43" spans="1:7" ht="15.75">
      <c r="A43" s="515" t="s">
        <v>72</v>
      </c>
      <c r="B43" s="516"/>
      <c r="C43" s="84">
        <f>COSTO!D5</f>
        <v>948.8054700000001</v>
      </c>
      <c r="D43" s="131">
        <f>IF((D35+D36+D37)&gt;D24*0.25,D36,0)</f>
        <v>0</v>
      </c>
      <c r="E43" s="85">
        <v>0.1</v>
      </c>
      <c r="F43" s="86" t="s">
        <v>13</v>
      </c>
      <c r="G43" s="87">
        <f>C43*D43*E43</f>
        <v>0</v>
      </c>
    </row>
    <row r="44" spans="1:7" ht="16.5" thickBot="1">
      <c r="A44" s="515" t="s">
        <v>73</v>
      </c>
      <c r="B44" s="516"/>
      <c r="C44" s="84">
        <f>COSTO!D6</f>
        <v>843.38264</v>
      </c>
      <c r="D44" s="131">
        <f>IF((D35+D36+D37)&gt;D24*0.25,D37,0)</f>
        <v>0</v>
      </c>
      <c r="E44" s="85">
        <v>0.1</v>
      </c>
      <c r="F44" s="88" t="s">
        <v>13</v>
      </c>
      <c r="G44" s="89">
        <f>C44*D44*E44</f>
        <v>0</v>
      </c>
    </row>
    <row r="45" spans="1:7" ht="16.5" thickBot="1">
      <c r="A45" s="518" t="s">
        <v>74</v>
      </c>
      <c r="B45" s="519"/>
      <c r="C45" s="519"/>
      <c r="D45" s="519"/>
      <c r="E45" s="520"/>
      <c r="F45" s="521">
        <f>G41+G42+G43+G44</f>
        <v>0</v>
      </c>
      <c r="G45" s="522"/>
    </row>
    <row r="46" spans="1:7" ht="16.5" thickBot="1">
      <c r="A46" s="90"/>
      <c r="B46" s="91"/>
      <c r="C46" s="91"/>
      <c r="D46" s="91"/>
      <c r="E46" s="92" t="s">
        <v>13</v>
      </c>
      <c r="F46" s="93" t="s">
        <v>24</v>
      </c>
      <c r="G46" s="94">
        <f>F45*1936.27</f>
        <v>0</v>
      </c>
    </row>
    <row r="48" spans="1:7" ht="12.75">
      <c r="A48" s="56" t="s">
        <v>75</v>
      </c>
      <c r="F48" s="517" t="s">
        <v>26</v>
      </c>
      <c r="G48" s="517"/>
    </row>
    <row r="49" spans="6:7" ht="12.75">
      <c r="F49" s="517" t="s">
        <v>27</v>
      </c>
      <c r="G49" s="517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>
      <c r="A59" s="56" t="s">
        <v>281</v>
      </c>
    </row>
    <row r="60" ht="12.75" hidden="1">
      <c r="A60" t="s">
        <v>130</v>
      </c>
    </row>
    <row r="61" ht="12.75" hidden="1">
      <c r="A61" t="s">
        <v>132</v>
      </c>
    </row>
    <row r="62" ht="12.75" hidden="1">
      <c r="A62" t="s">
        <v>133</v>
      </c>
    </row>
    <row r="63" ht="12.75" hidden="1">
      <c r="A63" t="s">
        <v>134</v>
      </c>
    </row>
    <row r="64" ht="12.75" hidden="1">
      <c r="A64" t="s">
        <v>135</v>
      </c>
    </row>
    <row r="65" spans="1:2" ht="12.75" hidden="1">
      <c r="A65" t="s">
        <v>136</v>
      </c>
      <c r="B65"/>
    </row>
    <row r="66" ht="12.75" hidden="1">
      <c r="A66" t="s">
        <v>137</v>
      </c>
    </row>
    <row r="67" ht="12.75" hidden="1">
      <c r="A67" t="s">
        <v>139</v>
      </c>
    </row>
    <row r="68" ht="12.75" hidden="1">
      <c r="A68" t="s">
        <v>140</v>
      </c>
    </row>
    <row r="69" ht="12.75" hidden="1">
      <c r="A69" t="s">
        <v>141</v>
      </c>
    </row>
    <row r="70" ht="12.75" hidden="1">
      <c r="A70" t="s">
        <v>142</v>
      </c>
    </row>
    <row r="71" ht="12.75" hidden="1">
      <c r="A71" t="s">
        <v>143</v>
      </c>
    </row>
    <row r="72" ht="12.75" hidden="1"/>
  </sheetData>
  <sheetProtection/>
  <mergeCells count="34">
    <mergeCell ref="A28:C28"/>
    <mergeCell ref="E28:G28"/>
    <mergeCell ref="E21:F21"/>
    <mergeCell ref="A24:C24"/>
    <mergeCell ref="E24:G25"/>
    <mergeCell ref="A26:C26"/>
    <mergeCell ref="E26:G26"/>
    <mergeCell ref="A1:G1"/>
    <mergeCell ref="A11:G11"/>
    <mergeCell ref="B12:C12"/>
    <mergeCell ref="D12:D14"/>
    <mergeCell ref="E12:E14"/>
    <mergeCell ref="F12:F14"/>
    <mergeCell ref="B13:C13"/>
    <mergeCell ref="B14:C14"/>
    <mergeCell ref="A35:C35"/>
    <mergeCell ref="E35:G37"/>
    <mergeCell ref="A36:C36"/>
    <mergeCell ref="A37:C37"/>
    <mergeCell ref="A30:C30"/>
    <mergeCell ref="E30:G30"/>
    <mergeCell ref="A32:C32"/>
    <mergeCell ref="A34:G34"/>
    <mergeCell ref="E32:F32"/>
    <mergeCell ref="F48:G48"/>
    <mergeCell ref="F49:G49"/>
    <mergeCell ref="A43:B43"/>
    <mergeCell ref="A44:B44"/>
    <mergeCell ref="A45:E45"/>
    <mergeCell ref="F45:G45"/>
    <mergeCell ref="A39:G39"/>
    <mergeCell ref="F40:G40"/>
    <mergeCell ref="A41:B41"/>
    <mergeCell ref="A42:B42"/>
  </mergeCells>
  <dataValidations count="1">
    <dataValidation type="list" allowBlank="1" showInputMessage="1" showErrorMessage="1" sqref="E32">
      <formula1>'Nuova costruzione'!$A$60:$A$71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&amp;C&amp;A&amp;R&amp;"Arial,Grassetto"COMUNE DI CARPI&amp;"Arial,Normale"
Servizio Edilizia Privata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R51"/>
  <sheetViews>
    <sheetView zoomScalePageLayoutView="0" workbookViewId="0" topLeftCell="A1">
      <selection activeCell="G19" sqref="G19:K19"/>
    </sheetView>
  </sheetViews>
  <sheetFormatPr defaultColWidth="8.8515625" defaultRowHeight="12.75"/>
  <cols>
    <col min="1" max="1" width="20.8515625" style="0" customWidth="1"/>
    <col min="2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76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9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SUM(M11+M13)</f>
        <v>0</v>
      </c>
    </row>
    <row r="17" spans="1:13" ht="30" customHeight="1">
      <c r="A17" s="563" t="s">
        <v>77</v>
      </c>
      <c r="B17" s="564"/>
      <c r="C17" s="16" t="s">
        <v>13</v>
      </c>
      <c r="D17" s="579">
        <f>SUM(Superfici!AK4:AK43)</f>
        <v>0</v>
      </c>
      <c r="E17" s="580"/>
      <c r="F17" s="581"/>
      <c r="G17" s="17" t="s">
        <v>86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8" ht="30" customHeight="1">
      <c r="A19" s="563" t="s">
        <v>15</v>
      </c>
      <c r="B19" s="564"/>
      <c r="C19" s="16" t="s">
        <v>13</v>
      </c>
      <c r="D19" s="565">
        <f>IF(G19&lt;&gt;"",VLOOKUP(G19,COSTO!A11:B22,2,FALSE()),0)</f>
        <v>0</v>
      </c>
      <c r="E19" s="566"/>
      <c r="F19" s="567"/>
      <c r="G19" s="571"/>
      <c r="H19" s="572"/>
      <c r="I19" s="572"/>
      <c r="J19" s="572"/>
      <c r="K19" s="573"/>
      <c r="L19" s="574" t="s">
        <v>282</v>
      </c>
      <c r="M19" s="575"/>
      <c r="N19" s="139"/>
      <c r="O19" s="139"/>
      <c r="P19" s="139"/>
      <c r="Q19" s="139"/>
      <c r="R19" s="139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9.5" customHeight="1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12.75">
      <c r="A22" s="21"/>
      <c r="B22" s="556" t="s">
        <v>17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9.5" customHeight="1" thickBot="1">
      <c r="A23" s="24" t="s">
        <v>22</v>
      </c>
      <c r="B23" s="558">
        <f>COSTO!F3</f>
        <v>1054.2283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26">
        <f>D19</f>
        <v>0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6.5" thickBot="1">
      <c r="A24" s="29"/>
      <c r="B24" s="29"/>
      <c r="C24" s="29"/>
      <c r="D24" s="29"/>
      <c r="E24" s="29"/>
      <c r="F24" s="29"/>
      <c r="G24" s="29"/>
      <c r="H24" s="29"/>
      <c r="I24" s="29"/>
      <c r="K24" s="33" t="s">
        <v>13</v>
      </c>
      <c r="L24" s="34" t="s">
        <v>24</v>
      </c>
      <c r="M24" s="35">
        <f>L23*1936.27</f>
        <v>0</v>
      </c>
    </row>
    <row r="25" spans="1:5" ht="15">
      <c r="A25" s="562"/>
      <c r="B25" s="562"/>
      <c r="C25" s="562"/>
      <c r="D25" s="562"/>
      <c r="E25" s="562"/>
    </row>
    <row r="27" spans="1:13" ht="12.75">
      <c r="A27" t="s">
        <v>25</v>
      </c>
      <c r="H27" s="37"/>
      <c r="I27" s="555" t="s">
        <v>26</v>
      </c>
      <c r="J27" s="555"/>
      <c r="K27" s="555"/>
      <c r="L27" s="555"/>
      <c r="M27" s="36"/>
    </row>
    <row r="28" spans="8:13" ht="12.75">
      <c r="H28" s="37"/>
      <c r="I28" s="555" t="s">
        <v>27</v>
      </c>
      <c r="J28" s="555"/>
      <c r="K28" s="555"/>
      <c r="L28" s="555"/>
      <c r="M28" s="36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  <row r="37" ht="12.75" hidden="1"/>
    <row r="38" ht="12.75" hidden="1"/>
    <row r="39" ht="12.75" hidden="1">
      <c r="A39" s="56" t="s">
        <v>281</v>
      </c>
    </row>
    <row r="40" ht="12.75" hidden="1">
      <c r="A40" t="s">
        <v>130</v>
      </c>
    </row>
    <row r="41" ht="12.75" hidden="1">
      <c r="A41" t="s">
        <v>132</v>
      </c>
    </row>
    <row r="42" ht="12.75" hidden="1">
      <c r="A42" t="s">
        <v>133</v>
      </c>
    </row>
    <row r="43" ht="12.75" hidden="1">
      <c r="A43" t="s">
        <v>134</v>
      </c>
    </row>
    <row r="44" ht="12.75" hidden="1">
      <c r="A44" t="s">
        <v>135</v>
      </c>
    </row>
    <row r="45" ht="12.75" hidden="1">
      <c r="A45" t="s">
        <v>136</v>
      </c>
    </row>
    <row r="46" ht="12.75" hidden="1">
      <c r="A46" t="s">
        <v>137</v>
      </c>
    </row>
    <row r="47" ht="12.75" hidden="1">
      <c r="A47" t="s">
        <v>139</v>
      </c>
    </row>
    <row r="48" ht="12.75" hidden="1">
      <c r="A48" t="s">
        <v>140</v>
      </c>
    </row>
    <row r="49" ht="12.75" hidden="1">
      <c r="A49" t="s">
        <v>141</v>
      </c>
    </row>
    <row r="50" ht="12.75" hidden="1">
      <c r="A50" t="s">
        <v>142</v>
      </c>
    </row>
    <row r="51" ht="12.75" hidden="1">
      <c r="A51" t="s">
        <v>143</v>
      </c>
    </row>
    <row r="52" ht="12.75" hidden="1"/>
  </sheetData>
  <sheetProtection/>
  <mergeCells count="23">
    <mergeCell ref="A1:M1"/>
    <mergeCell ref="A3:B4"/>
    <mergeCell ref="C3:M3"/>
    <mergeCell ref="A11:L11"/>
    <mergeCell ref="A13:L13"/>
    <mergeCell ref="A15:L15"/>
    <mergeCell ref="A17:B17"/>
    <mergeCell ref="D17:F17"/>
    <mergeCell ref="H17:M17"/>
    <mergeCell ref="A19:B19"/>
    <mergeCell ref="D19:F19"/>
    <mergeCell ref="A21:M21"/>
    <mergeCell ref="G19:K19"/>
    <mergeCell ref="L19:M19"/>
    <mergeCell ref="I27:L27"/>
    <mergeCell ref="I28:L28"/>
    <mergeCell ref="B22:C22"/>
    <mergeCell ref="E22:F22"/>
    <mergeCell ref="L22:M22"/>
    <mergeCell ref="B23:C23"/>
    <mergeCell ref="E23:F23"/>
    <mergeCell ref="L23:M23"/>
    <mergeCell ref="A25:E25"/>
  </mergeCells>
  <dataValidations count="2">
    <dataValidation type="whole" allowBlank="1" showInputMessage="1" showErrorMessage="1" sqref="C5:L9">
      <formula1>0</formula1>
      <formula2>1</formula2>
    </dataValidation>
    <dataValidation type="list" allowBlank="1" showInputMessage="1" showErrorMessage="1" sqref="G19:K19">
      <formula1>'Residenziale esistente'!$A$40:$A$51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M35"/>
  <sheetViews>
    <sheetView zoomScalePageLayoutView="0" workbookViewId="0" topLeftCell="A1">
      <selection activeCell="D17" sqref="D17:F17"/>
    </sheetView>
  </sheetViews>
  <sheetFormatPr defaultColWidth="8.8515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79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SUM(M11+M13)</f>
        <v>0</v>
      </c>
    </row>
    <row r="17" spans="1:13" ht="30" customHeight="1">
      <c r="A17" s="563" t="s">
        <v>12</v>
      </c>
      <c r="B17" s="564"/>
      <c r="C17" s="16" t="s">
        <v>13</v>
      </c>
      <c r="D17" s="579">
        <f>SUM(Superfici!AI4:AI43)</f>
        <v>0</v>
      </c>
      <c r="E17" s="580"/>
      <c r="F17" s="581"/>
      <c r="G17" s="17" t="s">
        <v>86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563" t="s">
        <v>15</v>
      </c>
      <c r="B19" s="564"/>
      <c r="C19" s="16" t="s">
        <v>13</v>
      </c>
      <c r="D19" s="589">
        <v>0.1</v>
      </c>
      <c r="E19" s="590"/>
      <c r="F19" s="591"/>
      <c r="G19" s="17"/>
      <c r="H19" s="582" t="s">
        <v>85</v>
      </c>
      <c r="I19" s="582"/>
      <c r="J19" s="582"/>
      <c r="K19" s="582"/>
      <c r="L19" s="582"/>
      <c r="M19" s="583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30" customHeight="1">
      <c r="A22" s="21"/>
      <c r="B22" s="556" t="s">
        <v>84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9.5" customHeight="1" thickBot="1">
      <c r="A23" s="24" t="s">
        <v>22</v>
      </c>
      <c r="B23" s="558">
        <f>COSTO!F5</f>
        <v>474.40273500000006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105">
        <f>D19</f>
        <v>0.1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100" t="s">
        <v>24</v>
      </c>
      <c r="M25" s="35">
        <f>L23*1936.27</f>
        <v>0</v>
      </c>
    </row>
    <row r="26" spans="11:13" ht="12.75">
      <c r="K26" s="36"/>
      <c r="L26" s="36"/>
      <c r="M26" s="36"/>
    </row>
    <row r="27" spans="1:13" ht="12.75">
      <c r="A27" t="s">
        <v>25</v>
      </c>
      <c r="H27" s="37"/>
      <c r="I27" s="36" t="s">
        <v>26</v>
      </c>
      <c r="J27" s="36"/>
      <c r="K27" s="36"/>
      <c r="L27" s="36"/>
      <c r="M27" s="36"/>
    </row>
    <row r="28" spans="8:13" ht="12.75">
      <c r="H28" s="37"/>
      <c r="I28" s="36" t="s">
        <v>27</v>
      </c>
      <c r="J28" s="36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0" ht="12.75">
      <c r="I35" s="37"/>
      <c r="J35" s="37"/>
    </row>
  </sheetData>
  <sheetProtection/>
  <mergeCells count="19">
    <mergeCell ref="A17:B17"/>
    <mergeCell ref="D17:F17"/>
    <mergeCell ref="H17:M17"/>
    <mergeCell ref="A13:L13"/>
    <mergeCell ref="A15:L15"/>
    <mergeCell ref="A1:M1"/>
    <mergeCell ref="A3:B4"/>
    <mergeCell ref="C3:M3"/>
    <mergeCell ref="A11:L11"/>
    <mergeCell ref="B23:C23"/>
    <mergeCell ref="E23:F23"/>
    <mergeCell ref="L23:M23"/>
    <mergeCell ref="A19:B19"/>
    <mergeCell ref="D19:F19"/>
    <mergeCell ref="H19:M19"/>
    <mergeCell ref="B22:C22"/>
    <mergeCell ref="E22:F22"/>
    <mergeCell ref="L22:M22"/>
    <mergeCell ref="A21:M21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M35"/>
  <sheetViews>
    <sheetView zoomScalePageLayoutView="0" workbookViewId="0" topLeftCell="A1">
      <selection activeCell="C25" sqref="C25"/>
    </sheetView>
  </sheetViews>
  <sheetFormatPr defaultColWidth="8.8515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SUM(M11+M13)</f>
        <v>0</v>
      </c>
    </row>
    <row r="17" spans="1:13" ht="30" customHeight="1">
      <c r="A17" s="563" t="s">
        <v>12</v>
      </c>
      <c r="B17" s="564"/>
      <c r="C17" s="16" t="s">
        <v>13</v>
      </c>
      <c r="D17" s="579">
        <f>SUM(Superfici!AJ4:AJ43)</f>
        <v>0</v>
      </c>
      <c r="E17" s="580"/>
      <c r="F17" s="581"/>
      <c r="G17" s="17" t="s">
        <v>14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563" t="s">
        <v>15</v>
      </c>
      <c r="B19" s="564"/>
      <c r="C19" s="16" t="s">
        <v>13</v>
      </c>
      <c r="D19" s="589">
        <v>0.1</v>
      </c>
      <c r="E19" s="590"/>
      <c r="F19" s="591"/>
      <c r="G19" s="17"/>
      <c r="H19" s="582" t="s">
        <v>85</v>
      </c>
      <c r="I19" s="582"/>
      <c r="J19" s="582"/>
      <c r="K19" s="582"/>
      <c r="L19" s="582"/>
      <c r="M19" s="583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30" customHeight="1">
      <c r="A22" s="21"/>
      <c r="B22" s="556" t="s">
        <v>84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6.5" thickBot="1">
      <c r="A23" s="24" t="s">
        <v>22</v>
      </c>
      <c r="B23" s="558">
        <f>COSTO!F6</f>
        <v>421.69132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105">
        <f>D19</f>
        <v>0.1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101" t="s">
        <v>24</v>
      </c>
      <c r="M25" s="35">
        <f>L23*1936.27</f>
        <v>0</v>
      </c>
    </row>
    <row r="26" spans="11:13" ht="12.75">
      <c r="K26" s="36"/>
      <c r="L26" s="36"/>
      <c r="M26" s="36"/>
    </row>
    <row r="27" spans="1:13" ht="12.75">
      <c r="A27" t="s">
        <v>25</v>
      </c>
      <c r="H27" s="37"/>
      <c r="I27" s="36" t="s">
        <v>26</v>
      </c>
      <c r="J27" s="36"/>
      <c r="K27" s="36"/>
      <c r="L27" s="36"/>
      <c r="M27" s="36"/>
    </row>
    <row r="28" spans="8:13" ht="12.75">
      <c r="H28" s="37"/>
      <c r="I28" s="36" t="s">
        <v>27</v>
      </c>
      <c r="J28" s="36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0" ht="12.75">
      <c r="I35" s="37"/>
      <c r="J35" s="37"/>
    </row>
  </sheetData>
  <sheetProtection/>
  <mergeCells count="19">
    <mergeCell ref="A17:B17"/>
    <mergeCell ref="D17:F17"/>
    <mergeCell ref="H17:M17"/>
    <mergeCell ref="A13:L13"/>
    <mergeCell ref="A15:L15"/>
    <mergeCell ref="A1:M1"/>
    <mergeCell ref="A3:B4"/>
    <mergeCell ref="C3:M3"/>
    <mergeCell ref="A11:L11"/>
    <mergeCell ref="B23:C23"/>
    <mergeCell ref="E23:F23"/>
    <mergeCell ref="L23:M23"/>
    <mergeCell ref="A19:B19"/>
    <mergeCell ref="D19:F19"/>
    <mergeCell ref="H19:M19"/>
    <mergeCell ref="B22:C22"/>
    <mergeCell ref="E22:F22"/>
    <mergeCell ref="L22:M22"/>
    <mergeCell ref="A21:M21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M35"/>
  <sheetViews>
    <sheetView zoomScalePageLayoutView="0" workbookViewId="0" topLeftCell="A1">
      <selection activeCell="D17" sqref="D17:F17"/>
    </sheetView>
  </sheetViews>
  <sheetFormatPr defaultColWidth="8.8515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584" t="s">
        <v>78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585" t="s">
        <v>1</v>
      </c>
      <c r="B3" s="586"/>
      <c r="C3" s="488" t="s">
        <v>2</v>
      </c>
      <c r="D3" s="489"/>
      <c r="E3" s="489"/>
      <c r="F3" s="489"/>
      <c r="G3" s="489"/>
      <c r="H3" s="489"/>
      <c r="I3" s="489"/>
      <c r="J3" s="489"/>
      <c r="K3" s="489"/>
      <c r="L3" s="489"/>
      <c r="M3" s="490"/>
    </row>
    <row r="4" spans="1:13" ht="12.75">
      <c r="A4" s="587"/>
      <c r="B4" s="588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576" t="s">
        <v>9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8"/>
      <c r="M11" s="13">
        <f>M5+M6+M7+M8+M9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576" t="s">
        <v>10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8"/>
      <c r="M13" s="13">
        <f>M11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576" t="s">
        <v>11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8"/>
      <c r="M15" s="13">
        <f>M11+M13</f>
        <v>0</v>
      </c>
    </row>
    <row r="17" spans="1:13" ht="30" customHeight="1">
      <c r="A17" s="563" t="s">
        <v>12</v>
      </c>
      <c r="B17" s="564"/>
      <c r="C17" s="16" t="s">
        <v>13</v>
      </c>
      <c r="D17" s="579">
        <f>SUM(Superfici!AL4:AL43)</f>
        <v>0</v>
      </c>
      <c r="E17" s="580"/>
      <c r="F17" s="581"/>
      <c r="G17" s="17" t="s">
        <v>14</v>
      </c>
      <c r="H17" s="582" t="s">
        <v>87</v>
      </c>
      <c r="I17" s="582"/>
      <c r="J17" s="582"/>
      <c r="K17" s="582"/>
      <c r="L17" s="582"/>
      <c r="M17" s="583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563" t="s">
        <v>15</v>
      </c>
      <c r="B19" s="564"/>
      <c r="C19" s="16" t="s">
        <v>13</v>
      </c>
      <c r="D19" s="589">
        <v>0.1</v>
      </c>
      <c r="E19" s="590"/>
      <c r="F19" s="591"/>
      <c r="G19" s="17"/>
      <c r="H19" s="582" t="s">
        <v>85</v>
      </c>
      <c r="I19" s="582"/>
      <c r="J19" s="582"/>
      <c r="K19" s="582"/>
      <c r="L19" s="582"/>
      <c r="M19" s="583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568" t="s">
        <v>16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70"/>
    </row>
    <row r="22" spans="1:13" ht="30" customHeight="1">
      <c r="A22" s="21"/>
      <c r="B22" s="556" t="s">
        <v>84</v>
      </c>
      <c r="C22" s="556"/>
      <c r="D22" s="22"/>
      <c r="E22" s="556" t="s">
        <v>18</v>
      </c>
      <c r="F22" s="556"/>
      <c r="G22" s="22"/>
      <c r="H22" s="22" t="s">
        <v>19</v>
      </c>
      <c r="I22" s="22"/>
      <c r="J22" s="22" t="s">
        <v>20</v>
      </c>
      <c r="K22" s="23"/>
      <c r="L22" s="556" t="s">
        <v>21</v>
      </c>
      <c r="M22" s="557"/>
    </row>
    <row r="23" spans="1:13" ht="16.5" thickBot="1">
      <c r="A23" s="24" t="s">
        <v>22</v>
      </c>
      <c r="B23" s="558">
        <f>COSTO!F7</f>
        <v>527.11415</v>
      </c>
      <c r="C23" s="558"/>
      <c r="D23" s="25" t="s">
        <v>23</v>
      </c>
      <c r="E23" s="559">
        <f>D17</f>
        <v>0</v>
      </c>
      <c r="F23" s="559"/>
      <c r="G23" s="25" t="s">
        <v>23</v>
      </c>
      <c r="H23" s="105">
        <f>D19</f>
        <v>0.1</v>
      </c>
      <c r="I23" s="25" t="s">
        <v>23</v>
      </c>
      <c r="J23" s="27">
        <f>M15</f>
        <v>0</v>
      </c>
      <c r="K23" s="28" t="s">
        <v>13</v>
      </c>
      <c r="L23" s="560">
        <f>B23*E23*H23*J23</f>
        <v>0</v>
      </c>
      <c r="M23" s="561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101" t="s">
        <v>24</v>
      </c>
      <c r="M25" s="35">
        <f>L23*1936.27</f>
        <v>0</v>
      </c>
    </row>
    <row r="27" spans="1:13" ht="12.75">
      <c r="A27" t="s">
        <v>25</v>
      </c>
      <c r="H27" s="37"/>
      <c r="I27" s="555" t="s">
        <v>26</v>
      </c>
      <c r="J27" s="555"/>
      <c r="K27" s="555"/>
      <c r="L27" s="555"/>
      <c r="M27" s="36"/>
    </row>
    <row r="28" spans="8:13" ht="12.75">
      <c r="H28" s="37"/>
      <c r="I28" s="555" t="s">
        <v>27</v>
      </c>
      <c r="J28" s="555"/>
      <c r="K28" s="555"/>
      <c r="L28" s="555"/>
      <c r="M28" s="36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</sheetData>
  <sheetProtection/>
  <mergeCells count="21">
    <mergeCell ref="A13:L13"/>
    <mergeCell ref="A15:L15"/>
    <mergeCell ref="A1:M1"/>
    <mergeCell ref="A3:B4"/>
    <mergeCell ref="C3:M3"/>
    <mergeCell ref="A11:L11"/>
    <mergeCell ref="A17:B17"/>
    <mergeCell ref="D17:F17"/>
    <mergeCell ref="H17:M17"/>
    <mergeCell ref="A19:B19"/>
    <mergeCell ref="D19:F19"/>
    <mergeCell ref="H19:M19"/>
    <mergeCell ref="A21:M21"/>
    <mergeCell ref="I27:L27"/>
    <mergeCell ref="I28:L28"/>
    <mergeCell ref="B22:C22"/>
    <mergeCell ref="E22:F22"/>
    <mergeCell ref="L22:M22"/>
    <mergeCell ref="B23:C23"/>
    <mergeCell ref="E23:F23"/>
    <mergeCell ref="L23:M23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3"/>
  <headerFooter alignWithMargins="0">
    <oddHeader>&amp;C&amp;A&amp;R&amp;"Arial,Grassetto"COMUNE DI CARPI&amp;"Arial,Normale"
Servizio Edilizia Privata</oddHead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meranino</cp:lastModifiedBy>
  <cp:lastPrinted>2023-12-11T11:20:57Z</cp:lastPrinted>
  <dcterms:created xsi:type="dcterms:W3CDTF">2003-03-04T07:52:57Z</dcterms:created>
  <dcterms:modified xsi:type="dcterms:W3CDTF">2023-12-18T08:09:02Z</dcterms:modified>
  <cp:category/>
  <cp:version/>
  <cp:contentType/>
  <cp:contentStatus/>
</cp:coreProperties>
</file>